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5550" yWindow="465" windowWidth="13080" windowHeight="6885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definedNames>
    <definedName name="_xlnm._FilterDatabase" localSheetId="0" hidden="1">'Order form'!#REF!</definedName>
    <definedName name="_xlnm._FilterDatabase" localSheetId="2" hidden="1">Resume!$C$4:$P$4</definedName>
    <definedName name="_xlnm.Print_Area" localSheetId="3">'Commercial Invoice'!$B$1:$J$73</definedName>
    <definedName name="_xlnm.Print_Area" localSheetId="0">'Order form'!$B$1:$AB$469</definedName>
    <definedName name="_xlnm.Print_Area" localSheetId="2">Resume!$A$4:$D$161</definedName>
  </definedNames>
  <calcPr calcId="124519"/>
</workbook>
</file>

<file path=xl/calcChain.xml><?xml version="1.0" encoding="utf-8"?>
<calcChain xmlns="http://schemas.openxmlformats.org/spreadsheetml/2006/main">
  <c r="X118" i="2"/>
  <c r="N218"/>
  <c r="I218"/>
  <c r="D218"/>
  <c r="X207"/>
  <c r="S207"/>
  <c r="N207"/>
  <c r="I207"/>
  <c r="D207"/>
  <c r="X196"/>
  <c r="S196"/>
  <c r="N196"/>
  <c r="I196"/>
  <c r="D196"/>
  <c r="N151"/>
  <c r="I151"/>
  <c r="S140"/>
  <c r="I140"/>
  <c r="D140"/>
  <c r="X129"/>
  <c r="N129"/>
  <c r="I129"/>
  <c r="F12" i="4"/>
  <c r="F11"/>
  <c r="F10"/>
  <c r="F9"/>
  <c r="C95" i="3"/>
  <c r="C8" i="4"/>
  <c r="B16"/>
  <c r="C71" i="3"/>
  <c r="C76"/>
  <c r="C130"/>
  <c r="C73"/>
  <c r="C72"/>
  <c r="C75"/>
  <c r="C74"/>
  <c r="C172" l="1"/>
  <c r="C173"/>
  <c r="C136" l="1"/>
  <c r="J87"/>
  <c r="J88"/>
  <c r="J89"/>
  <c r="J90"/>
  <c r="H170"/>
  <c r="I170" s="1"/>
  <c r="H169"/>
  <c r="I169" s="1"/>
  <c r="F170"/>
  <c r="G170" s="1"/>
  <c r="F169"/>
  <c r="G169" s="1"/>
  <c r="F90" l="1"/>
  <c r="G90" s="1"/>
  <c r="F89"/>
  <c r="G89" s="1"/>
  <c r="F88"/>
  <c r="G88" s="1"/>
  <c r="F87"/>
  <c r="G87" s="1"/>
  <c r="F31" i="2" l="1"/>
  <c r="D90" i="3"/>
  <c r="D89"/>
  <c r="D88"/>
  <c r="D87"/>
  <c r="N64"/>
  <c r="N65"/>
  <c r="N66"/>
  <c r="N67"/>
  <c r="N68"/>
  <c r="N69"/>
  <c r="N71"/>
  <c r="N163"/>
  <c r="N164"/>
  <c r="N165"/>
  <c r="N166"/>
  <c r="N167"/>
  <c r="N168"/>
  <c r="C131"/>
  <c r="C129"/>
  <c r="I129" s="1"/>
  <c r="J129" s="1"/>
  <c r="I130"/>
  <c r="J130" s="1"/>
  <c r="C128"/>
  <c r="I74"/>
  <c r="J74" s="1"/>
  <c r="M71"/>
  <c r="C94"/>
  <c r="I94" s="1"/>
  <c r="J94" s="1"/>
  <c r="C93"/>
  <c r="I93" s="1"/>
  <c r="J93" s="1"/>
  <c r="F94"/>
  <c r="F93"/>
  <c r="E94"/>
  <c r="E93"/>
  <c r="D94"/>
  <c r="D93"/>
  <c r="C5"/>
  <c r="C6"/>
  <c r="C7"/>
  <c r="C8"/>
  <c r="I8" s="1"/>
  <c r="J8" s="1"/>
  <c r="C9"/>
  <c r="C10"/>
  <c r="C11"/>
  <c r="C12"/>
  <c r="I12" s="1"/>
  <c r="J12" s="1"/>
  <c r="C4"/>
  <c r="O4" s="1"/>
  <c r="O5" s="1"/>
  <c r="F5"/>
  <c r="F6"/>
  <c r="F7"/>
  <c r="F8"/>
  <c r="F9"/>
  <c r="F10"/>
  <c r="F11"/>
  <c r="F12"/>
  <c r="F4"/>
  <c r="C170"/>
  <c r="L114"/>
  <c r="N114" s="1"/>
  <c r="L113"/>
  <c r="N113" s="1"/>
  <c r="F114"/>
  <c r="F113"/>
  <c r="E114"/>
  <c r="E113"/>
  <c r="D114"/>
  <c r="D113"/>
  <c r="C114"/>
  <c r="C113"/>
  <c r="S286" i="2"/>
  <c r="N286"/>
  <c r="I286"/>
  <c r="D286"/>
  <c r="B10" i="5"/>
  <c r="H14" i="6" s="1"/>
  <c r="C9" i="4"/>
  <c r="L131" i="3"/>
  <c r="N131" s="1"/>
  <c r="L130"/>
  <c r="N130" s="1"/>
  <c r="L129"/>
  <c r="F131"/>
  <c r="F130"/>
  <c r="F129"/>
  <c r="E131"/>
  <c r="E130"/>
  <c r="E129"/>
  <c r="D131"/>
  <c r="D130"/>
  <c r="D129"/>
  <c r="I131"/>
  <c r="J131" s="1"/>
  <c r="C126"/>
  <c r="L122"/>
  <c r="N122" s="1"/>
  <c r="L121"/>
  <c r="N121" s="1"/>
  <c r="L120"/>
  <c r="N120" s="1"/>
  <c r="F122"/>
  <c r="F121"/>
  <c r="F120"/>
  <c r="E122"/>
  <c r="E121"/>
  <c r="E120"/>
  <c r="D122"/>
  <c r="D121"/>
  <c r="D120"/>
  <c r="C122"/>
  <c r="M122" s="1"/>
  <c r="C121"/>
  <c r="C120"/>
  <c r="M120" s="1"/>
  <c r="L95"/>
  <c r="N95" s="1"/>
  <c r="F95"/>
  <c r="G95" s="1"/>
  <c r="E95"/>
  <c r="D95"/>
  <c r="C77"/>
  <c r="C70"/>
  <c r="C69"/>
  <c r="M69" s="1"/>
  <c r="C23"/>
  <c r="I23" s="1"/>
  <c r="F168"/>
  <c r="F167"/>
  <c r="F166"/>
  <c r="F165"/>
  <c r="F164"/>
  <c r="F163"/>
  <c r="E168"/>
  <c r="E167"/>
  <c r="E166"/>
  <c r="E165"/>
  <c r="E164"/>
  <c r="E163"/>
  <c r="D168"/>
  <c r="D167"/>
  <c r="D166"/>
  <c r="D165"/>
  <c r="D164"/>
  <c r="D163"/>
  <c r="C168"/>
  <c r="C167"/>
  <c r="I167" s="1"/>
  <c r="J167" s="1"/>
  <c r="C166"/>
  <c r="C165"/>
  <c r="I165" s="1"/>
  <c r="J165" s="1"/>
  <c r="C164"/>
  <c r="C163"/>
  <c r="M5"/>
  <c r="I9"/>
  <c r="J9" s="1"/>
  <c r="I11"/>
  <c r="J11" s="1"/>
  <c r="C13"/>
  <c r="I13" s="1"/>
  <c r="J13" s="1"/>
  <c r="C14"/>
  <c r="C15"/>
  <c r="C16"/>
  <c r="I16" s="1"/>
  <c r="J16" s="1"/>
  <c r="C17"/>
  <c r="C18"/>
  <c r="C19"/>
  <c r="I19" s="1"/>
  <c r="J19" s="1"/>
  <c r="C20"/>
  <c r="C21"/>
  <c r="C22"/>
  <c r="C24"/>
  <c r="C25"/>
  <c r="I25" s="1"/>
  <c r="J25" s="1"/>
  <c r="C26"/>
  <c r="C27"/>
  <c r="C28"/>
  <c r="I28" s="1"/>
  <c r="J28" s="1"/>
  <c r="C29"/>
  <c r="I29" s="1"/>
  <c r="J29" s="1"/>
  <c r="C30"/>
  <c r="C31"/>
  <c r="C32"/>
  <c r="C33"/>
  <c r="I33" s="1"/>
  <c r="J33" s="1"/>
  <c r="C34"/>
  <c r="C35"/>
  <c r="C36"/>
  <c r="C37"/>
  <c r="C38"/>
  <c r="C39"/>
  <c r="C40"/>
  <c r="I40" s="1"/>
  <c r="J40" s="1"/>
  <c r="C41"/>
  <c r="C42"/>
  <c r="C43"/>
  <c r="C44"/>
  <c r="I44" s="1"/>
  <c r="J44" s="1"/>
  <c r="C63"/>
  <c r="I63" s="1"/>
  <c r="J63" s="1"/>
  <c r="C64"/>
  <c r="M64" s="1"/>
  <c r="C65"/>
  <c r="M65" s="1"/>
  <c r="C66"/>
  <c r="M66" s="1"/>
  <c r="C67"/>
  <c r="I67" s="1"/>
  <c r="J67" s="1"/>
  <c r="C68"/>
  <c r="M68" s="1"/>
  <c r="I73"/>
  <c r="J73" s="1"/>
  <c r="I76"/>
  <c r="J76" s="1"/>
  <c r="C91"/>
  <c r="I91" s="1"/>
  <c r="J91" s="1"/>
  <c r="C92"/>
  <c r="C96"/>
  <c r="C97"/>
  <c r="C98"/>
  <c r="C99"/>
  <c r="C100"/>
  <c r="C110"/>
  <c r="C108"/>
  <c r="C109"/>
  <c r="I109" s="1"/>
  <c r="J109" s="1"/>
  <c r="C105"/>
  <c r="C106"/>
  <c r="C107"/>
  <c r="C101"/>
  <c r="C102"/>
  <c r="C103"/>
  <c r="C104"/>
  <c r="C111"/>
  <c r="C112"/>
  <c r="C115"/>
  <c r="C116"/>
  <c r="C117"/>
  <c r="C118"/>
  <c r="C119"/>
  <c r="C123"/>
  <c r="I123" s="1"/>
  <c r="J123" s="1"/>
  <c r="C124"/>
  <c r="M124" s="1"/>
  <c r="C125"/>
  <c r="C127"/>
  <c r="I128"/>
  <c r="J128" s="1"/>
  <c r="C132"/>
  <c r="I132" s="1"/>
  <c r="J132" s="1"/>
  <c r="C133"/>
  <c r="M133" s="1"/>
  <c r="C134"/>
  <c r="C135"/>
  <c r="C137"/>
  <c r="I137" s="1"/>
  <c r="J137" s="1"/>
  <c r="C138"/>
  <c r="C139"/>
  <c r="C140"/>
  <c r="C141"/>
  <c r="C142"/>
  <c r="C151"/>
  <c r="C150"/>
  <c r="I150" s="1"/>
  <c r="J150" s="1"/>
  <c r="C143"/>
  <c r="I143" s="1"/>
  <c r="J143" s="1"/>
  <c r="C144"/>
  <c r="C145"/>
  <c r="C146"/>
  <c r="C147"/>
  <c r="C148"/>
  <c r="C149"/>
  <c r="C152"/>
  <c r="I152" s="1"/>
  <c r="J152" s="1"/>
  <c r="C153"/>
  <c r="C154"/>
  <c r="C155"/>
  <c r="C156"/>
  <c r="I156" s="1"/>
  <c r="J156" s="1"/>
  <c r="C157"/>
  <c r="C158"/>
  <c r="C159"/>
  <c r="C160"/>
  <c r="I160" s="1"/>
  <c r="J160" s="1"/>
  <c r="C161"/>
  <c r="I161" s="1"/>
  <c r="J161" s="1"/>
  <c r="C162"/>
  <c r="C169"/>
  <c r="H20" i="5"/>
  <c r="I6" i="3"/>
  <c r="J6" s="1"/>
  <c r="I72"/>
  <c r="J72" s="1"/>
  <c r="I75"/>
  <c r="J75" s="1"/>
  <c r="N4"/>
  <c r="N6"/>
  <c r="N8"/>
  <c r="N10"/>
  <c r="L13"/>
  <c r="N13" s="1"/>
  <c r="L22"/>
  <c r="N22" s="1"/>
  <c r="L14"/>
  <c r="N14" s="1"/>
  <c r="L15"/>
  <c r="N15" s="1"/>
  <c r="L16"/>
  <c r="N16" s="1"/>
  <c r="L17"/>
  <c r="L18"/>
  <c r="N18"/>
  <c r="L21"/>
  <c r="M21" s="1"/>
  <c r="L23"/>
  <c r="L24"/>
  <c r="N24"/>
  <c r="L25"/>
  <c r="N25" s="1"/>
  <c r="L26"/>
  <c r="N26" s="1"/>
  <c r="L27"/>
  <c r="L28"/>
  <c r="N28" s="1"/>
  <c r="L29"/>
  <c r="N29" s="1"/>
  <c r="L30"/>
  <c r="L31"/>
  <c r="L32"/>
  <c r="N32" s="1"/>
  <c r="L33"/>
  <c r="N33" s="1"/>
  <c r="L34"/>
  <c r="N34" s="1"/>
  <c r="L35"/>
  <c r="L36"/>
  <c r="N36"/>
  <c r="L37"/>
  <c r="N37" s="1"/>
  <c r="L38"/>
  <c r="N38" s="1"/>
  <c r="L39"/>
  <c r="L40"/>
  <c r="N40" s="1"/>
  <c r="L41"/>
  <c r="L42"/>
  <c r="N42" s="1"/>
  <c r="L43"/>
  <c r="N43" s="1"/>
  <c r="L44"/>
  <c r="N44" s="1"/>
  <c r="L76"/>
  <c r="N76" s="1"/>
  <c r="L91"/>
  <c r="N91" s="1"/>
  <c r="L92"/>
  <c r="M92" s="1"/>
  <c r="L93"/>
  <c r="N93" s="1"/>
  <c r="L94"/>
  <c r="N94" s="1"/>
  <c r="L96"/>
  <c r="N96" s="1"/>
  <c r="L97"/>
  <c r="M97" s="1"/>
  <c r="L98"/>
  <c r="N98" s="1"/>
  <c r="L99"/>
  <c r="L100"/>
  <c r="N100" s="1"/>
  <c r="L110"/>
  <c r="N110" s="1"/>
  <c r="L108"/>
  <c r="N108" s="1"/>
  <c r="L109"/>
  <c r="N109" s="1"/>
  <c r="L105"/>
  <c r="N105" s="1"/>
  <c r="L106"/>
  <c r="L107"/>
  <c r="N107" s="1"/>
  <c r="L101"/>
  <c r="N101" s="1"/>
  <c r="L102"/>
  <c r="N102" s="1"/>
  <c r="L103"/>
  <c r="N103" s="1"/>
  <c r="L104"/>
  <c r="N104" s="1"/>
  <c r="L111"/>
  <c r="N111" s="1"/>
  <c r="L112"/>
  <c r="M112" s="1"/>
  <c r="L115"/>
  <c r="M115" s="1"/>
  <c r="L116"/>
  <c r="N116" s="1"/>
  <c r="L117"/>
  <c r="N117" s="1"/>
  <c r="L118"/>
  <c r="N118" s="1"/>
  <c r="L126"/>
  <c r="N126" s="1"/>
  <c r="L127"/>
  <c r="L128"/>
  <c r="N128" s="1"/>
  <c r="L151"/>
  <c r="N151" s="1"/>
  <c r="L150"/>
  <c r="N150" s="1"/>
  <c r="L143"/>
  <c r="L144"/>
  <c r="N144"/>
  <c r="L145"/>
  <c r="N145" s="1"/>
  <c r="L146"/>
  <c r="N146" s="1"/>
  <c r="L147"/>
  <c r="N147" s="1"/>
  <c r="L148"/>
  <c r="N148" s="1"/>
  <c r="L149"/>
  <c r="N149" s="1"/>
  <c r="N160"/>
  <c r="N161"/>
  <c r="F126"/>
  <c r="F127"/>
  <c r="G127" s="1"/>
  <c r="F128"/>
  <c r="G128" s="1"/>
  <c r="F132"/>
  <c r="F133"/>
  <c r="F134"/>
  <c r="F135"/>
  <c r="F136"/>
  <c r="F137"/>
  <c r="F138"/>
  <c r="G138" s="1"/>
  <c r="F139"/>
  <c r="F140"/>
  <c r="F141"/>
  <c r="F142"/>
  <c r="G2"/>
  <c r="F13"/>
  <c r="F14"/>
  <c r="F15"/>
  <c r="F16"/>
  <c r="G16" s="1"/>
  <c r="F17"/>
  <c r="F18"/>
  <c r="F19"/>
  <c r="F20"/>
  <c r="F21"/>
  <c r="F22"/>
  <c r="F23"/>
  <c r="G23" s="1"/>
  <c r="F24"/>
  <c r="F25"/>
  <c r="F26"/>
  <c r="F27"/>
  <c r="F28"/>
  <c r="F29"/>
  <c r="F30"/>
  <c r="F31"/>
  <c r="G31" s="1"/>
  <c r="F32"/>
  <c r="G32" s="1"/>
  <c r="F33"/>
  <c r="F34"/>
  <c r="G34" s="1"/>
  <c r="F35"/>
  <c r="G35" s="1"/>
  <c r="F36"/>
  <c r="F37"/>
  <c r="F38"/>
  <c r="F39"/>
  <c r="G39" s="1"/>
  <c r="F40"/>
  <c r="G40" s="1"/>
  <c r="F41"/>
  <c r="F42"/>
  <c r="F43"/>
  <c r="F44"/>
  <c r="D118" i="2"/>
  <c r="F45" i="3" s="1"/>
  <c r="G45" s="1"/>
  <c r="I118" i="2"/>
  <c r="F46" i="3" s="1"/>
  <c r="G46" s="1"/>
  <c r="N118" i="2"/>
  <c r="F47" i="3" s="1"/>
  <c r="G47" s="1"/>
  <c r="S118" i="2"/>
  <c r="F48" i="3" s="1"/>
  <c r="G48" s="1"/>
  <c r="D129" i="2"/>
  <c r="F50" i="3" s="1"/>
  <c r="G50" s="1"/>
  <c r="F51"/>
  <c r="G51" s="1"/>
  <c r="F52"/>
  <c r="G52" s="1"/>
  <c r="S129" i="2"/>
  <c r="F53" i="3" s="1"/>
  <c r="G53" s="1"/>
  <c r="F54"/>
  <c r="G54" s="1"/>
  <c r="F55"/>
  <c r="G55" s="1"/>
  <c r="F56"/>
  <c r="G56" s="1"/>
  <c r="N140" i="2"/>
  <c r="F57" i="3" s="1"/>
  <c r="G57" s="1"/>
  <c r="F58"/>
  <c r="G58" s="1"/>
  <c r="X140" i="2"/>
  <c r="F59" i="3" s="1"/>
  <c r="G59" s="1"/>
  <c r="D151" i="2"/>
  <c r="F60" i="3" s="1"/>
  <c r="G60" s="1"/>
  <c r="F61"/>
  <c r="G61" s="1"/>
  <c r="F62"/>
  <c r="G62" s="1"/>
  <c r="F63"/>
  <c r="F64"/>
  <c r="G64" s="1"/>
  <c r="F65"/>
  <c r="F66"/>
  <c r="F67"/>
  <c r="F68"/>
  <c r="G68" s="1"/>
  <c r="F69"/>
  <c r="F70"/>
  <c r="F71"/>
  <c r="F72"/>
  <c r="F73"/>
  <c r="G73" s="1"/>
  <c r="F74"/>
  <c r="F75"/>
  <c r="G75" s="1"/>
  <c r="F76"/>
  <c r="G76" s="1"/>
  <c r="F77"/>
  <c r="F78"/>
  <c r="G78" s="1"/>
  <c r="F79"/>
  <c r="G79" s="1"/>
  <c r="F80"/>
  <c r="G80" s="1"/>
  <c r="F81"/>
  <c r="G81" s="1"/>
  <c r="F82"/>
  <c r="G82" s="1"/>
  <c r="F83"/>
  <c r="G83" s="1"/>
  <c r="F84"/>
  <c r="G84" s="1"/>
  <c r="F85"/>
  <c r="G85" s="1"/>
  <c r="F86"/>
  <c r="G86" s="1"/>
  <c r="F91"/>
  <c r="G91" s="1"/>
  <c r="F92"/>
  <c r="F96"/>
  <c r="F97"/>
  <c r="F98"/>
  <c r="F99"/>
  <c r="F100"/>
  <c r="F110"/>
  <c r="G110" s="1"/>
  <c r="F108"/>
  <c r="F109"/>
  <c r="F105"/>
  <c r="F106"/>
  <c r="G106" s="1"/>
  <c r="F107"/>
  <c r="G107" s="1"/>
  <c r="F101"/>
  <c r="F102"/>
  <c r="F103"/>
  <c r="G103" s="1"/>
  <c r="F104"/>
  <c r="G104" s="1"/>
  <c r="F111"/>
  <c r="F112"/>
  <c r="F115"/>
  <c r="G115" s="1"/>
  <c r="F116"/>
  <c r="F117"/>
  <c r="F118"/>
  <c r="F123"/>
  <c r="F124"/>
  <c r="F125"/>
  <c r="F151"/>
  <c r="F150"/>
  <c r="F143"/>
  <c r="G143" s="1"/>
  <c r="F144"/>
  <c r="F145"/>
  <c r="F146"/>
  <c r="G146" s="1"/>
  <c r="F147"/>
  <c r="F148"/>
  <c r="F149"/>
  <c r="F152"/>
  <c r="F153"/>
  <c r="F154"/>
  <c r="F155"/>
  <c r="G155"/>
  <c r="F156"/>
  <c r="F157"/>
  <c r="F158"/>
  <c r="G158" s="1"/>
  <c r="F160"/>
  <c r="G160" s="1"/>
  <c r="F161"/>
  <c r="G161" s="1"/>
  <c r="F162"/>
  <c r="N344" i="2"/>
  <c r="I344"/>
  <c r="D344"/>
  <c r="N308"/>
  <c r="I308"/>
  <c r="D308"/>
  <c r="S308"/>
  <c r="E150" i="3"/>
  <c r="D150"/>
  <c r="L119"/>
  <c r="N119" s="1"/>
  <c r="F119"/>
  <c r="E119"/>
  <c r="D119"/>
  <c r="E100"/>
  <c r="D100"/>
  <c r="X242" i="2"/>
  <c r="N391"/>
  <c r="D391"/>
  <c r="I391"/>
  <c r="S391"/>
  <c r="X391"/>
  <c r="D402"/>
  <c r="I402"/>
  <c r="S402"/>
  <c r="X402"/>
  <c r="L142" i="3"/>
  <c r="N142" s="1"/>
  <c r="L141"/>
  <c r="N141" s="1"/>
  <c r="E142"/>
  <c r="D142"/>
  <c r="D140"/>
  <c r="D141"/>
  <c r="E141"/>
  <c r="I378" i="2"/>
  <c r="D378"/>
  <c r="E20" i="3"/>
  <c r="D20"/>
  <c r="L20"/>
  <c r="N20" s="1"/>
  <c r="L19"/>
  <c r="N19" s="1"/>
  <c r="E19"/>
  <c r="D19"/>
  <c r="L77"/>
  <c r="N77" s="1"/>
  <c r="L75"/>
  <c r="N75" s="1"/>
  <c r="L74"/>
  <c r="N74" s="1"/>
  <c r="L73"/>
  <c r="N73" s="1"/>
  <c r="L72"/>
  <c r="N72" s="1"/>
  <c r="L70"/>
  <c r="N70" s="1"/>
  <c r="D77"/>
  <c r="D76"/>
  <c r="D71"/>
  <c r="X183" i="2"/>
  <c r="S183"/>
  <c r="N183"/>
  <c r="I183"/>
  <c r="D183"/>
  <c r="X173"/>
  <c r="X231"/>
  <c r="N53"/>
  <c r="I53"/>
  <c r="D5" i="3"/>
  <c r="D6"/>
  <c r="D7"/>
  <c r="D8"/>
  <c r="D9"/>
  <c r="D10"/>
  <c r="D11"/>
  <c r="D12"/>
  <c r="N12"/>
  <c r="C60" i="4"/>
  <c r="E81" i="5"/>
  <c r="C22" s="1"/>
  <c r="L135" i="3"/>
  <c r="N135" s="1"/>
  <c r="E135"/>
  <c r="D135"/>
  <c r="S356" i="2"/>
  <c r="N231"/>
  <c r="S231"/>
  <c r="N11" i="3"/>
  <c r="D4"/>
  <c r="D13"/>
  <c r="E13"/>
  <c r="D14"/>
  <c r="E14"/>
  <c r="D15"/>
  <c r="E15"/>
  <c r="D16"/>
  <c r="E16"/>
  <c r="D17"/>
  <c r="E17"/>
  <c r="D18"/>
  <c r="E18"/>
  <c r="D21"/>
  <c r="E21"/>
  <c r="D22"/>
  <c r="E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E45"/>
  <c r="J45"/>
  <c r="D46"/>
  <c r="E46"/>
  <c r="J46"/>
  <c r="D47"/>
  <c r="E47"/>
  <c r="J47"/>
  <c r="D48"/>
  <c r="E48"/>
  <c r="J48"/>
  <c r="D49"/>
  <c r="E49"/>
  <c r="J49"/>
  <c r="D50"/>
  <c r="E50"/>
  <c r="J50"/>
  <c r="D51"/>
  <c r="E51"/>
  <c r="J51"/>
  <c r="D52"/>
  <c r="E52"/>
  <c r="J52"/>
  <c r="D53"/>
  <c r="E53"/>
  <c r="J53"/>
  <c r="D54"/>
  <c r="E54"/>
  <c r="J54"/>
  <c r="D55"/>
  <c r="E55"/>
  <c r="J55"/>
  <c r="D56"/>
  <c r="E56"/>
  <c r="J56"/>
  <c r="D57"/>
  <c r="E57"/>
  <c r="J57"/>
  <c r="D58"/>
  <c r="E58"/>
  <c r="J58"/>
  <c r="D59"/>
  <c r="E59"/>
  <c r="J59"/>
  <c r="D60"/>
  <c r="E60"/>
  <c r="J60"/>
  <c r="D61"/>
  <c r="E61"/>
  <c r="J61"/>
  <c r="D62"/>
  <c r="E62"/>
  <c r="J62"/>
  <c r="D63"/>
  <c r="N63"/>
  <c r="D64"/>
  <c r="D65"/>
  <c r="D66"/>
  <c r="D67"/>
  <c r="D68"/>
  <c r="D69"/>
  <c r="D78"/>
  <c r="J78"/>
  <c r="D79"/>
  <c r="J79"/>
  <c r="D80"/>
  <c r="J80"/>
  <c r="D81"/>
  <c r="J81"/>
  <c r="D82"/>
  <c r="J82"/>
  <c r="D83"/>
  <c r="J83"/>
  <c r="D84"/>
  <c r="J84"/>
  <c r="D85"/>
  <c r="J85"/>
  <c r="D86"/>
  <c r="J86"/>
  <c r="D91"/>
  <c r="E91"/>
  <c r="D92"/>
  <c r="E92"/>
  <c r="D96"/>
  <c r="E96"/>
  <c r="D97"/>
  <c r="E97"/>
  <c r="D98"/>
  <c r="E98"/>
  <c r="D99"/>
  <c r="E99"/>
  <c r="D110"/>
  <c r="E110"/>
  <c r="D108"/>
  <c r="E108"/>
  <c r="D109"/>
  <c r="E109"/>
  <c r="D105"/>
  <c r="E105"/>
  <c r="D106"/>
  <c r="E106"/>
  <c r="D107"/>
  <c r="E107"/>
  <c r="D101"/>
  <c r="E101"/>
  <c r="D102"/>
  <c r="E102"/>
  <c r="D103"/>
  <c r="E103"/>
  <c r="D104"/>
  <c r="E104"/>
  <c r="D111"/>
  <c r="E111"/>
  <c r="D112"/>
  <c r="E112"/>
  <c r="D115"/>
  <c r="E115"/>
  <c r="D116"/>
  <c r="E116"/>
  <c r="D117"/>
  <c r="E117"/>
  <c r="D118"/>
  <c r="E118"/>
  <c r="D123"/>
  <c r="E123"/>
  <c r="N123"/>
  <c r="D124"/>
  <c r="E124"/>
  <c r="N124"/>
  <c r="D125"/>
  <c r="E125"/>
  <c r="N125"/>
  <c r="D126"/>
  <c r="E126"/>
  <c r="D127"/>
  <c r="E127"/>
  <c r="D128"/>
  <c r="E128"/>
  <c r="D132"/>
  <c r="E132"/>
  <c r="N132"/>
  <c r="D133"/>
  <c r="E133"/>
  <c r="N133"/>
  <c r="D134"/>
  <c r="E134"/>
  <c r="N134"/>
  <c r="D136"/>
  <c r="E136"/>
  <c r="L136"/>
  <c r="N136" s="1"/>
  <c r="D137"/>
  <c r="E137"/>
  <c r="L137"/>
  <c r="N137" s="1"/>
  <c r="D138"/>
  <c r="E138"/>
  <c r="L138"/>
  <c r="N138" s="1"/>
  <c r="D139"/>
  <c r="E139"/>
  <c r="L139"/>
  <c r="N139" s="1"/>
  <c r="E140"/>
  <c r="L140"/>
  <c r="N140" s="1"/>
  <c r="D151"/>
  <c r="E151"/>
  <c r="D143"/>
  <c r="E143"/>
  <c r="D144"/>
  <c r="E144"/>
  <c r="D145"/>
  <c r="E145"/>
  <c r="D146"/>
  <c r="E146"/>
  <c r="D147"/>
  <c r="E147"/>
  <c r="D148"/>
  <c r="E148"/>
  <c r="D149"/>
  <c r="E149"/>
  <c r="D152"/>
  <c r="E152"/>
  <c r="N152"/>
  <c r="D153"/>
  <c r="E153"/>
  <c r="N153"/>
  <c r="D154"/>
  <c r="E154"/>
  <c r="N154"/>
  <c r="D155"/>
  <c r="E155"/>
  <c r="N155"/>
  <c r="D156"/>
  <c r="E156"/>
  <c r="N156"/>
  <c r="D157"/>
  <c r="D158"/>
  <c r="E158"/>
  <c r="N158"/>
  <c r="D159"/>
  <c r="E159"/>
  <c r="D160"/>
  <c r="E160"/>
  <c r="D161"/>
  <c r="E161"/>
  <c r="D162"/>
  <c r="E162"/>
  <c r="N162"/>
  <c r="E169"/>
  <c r="J169"/>
  <c r="E170"/>
  <c r="J170"/>
  <c r="E171"/>
  <c r="J171"/>
  <c r="E172"/>
  <c r="F172"/>
  <c r="G172" s="1"/>
  <c r="J172"/>
  <c r="E173"/>
  <c r="F173"/>
  <c r="G173" s="1"/>
  <c r="J173"/>
  <c r="N159"/>
  <c r="X53" i="2"/>
  <c r="S53"/>
  <c r="X43"/>
  <c r="S43"/>
  <c r="N43"/>
  <c r="I43"/>
  <c r="D43"/>
  <c r="D53"/>
  <c r="B8" i="6"/>
  <c r="B5" i="5"/>
  <c r="B9" i="6" s="1"/>
  <c r="B6" i="5"/>
  <c r="B10" i="6" s="1"/>
  <c r="B7" i="5"/>
  <c r="H15" i="6"/>
  <c r="L18"/>
  <c r="G20" i="5"/>
  <c r="G22"/>
  <c r="C25"/>
  <c r="D25"/>
  <c r="E25"/>
  <c r="F25"/>
  <c r="G25"/>
  <c r="I25"/>
  <c r="I61"/>
  <c r="I70"/>
  <c r="B4" i="4"/>
  <c r="B5"/>
  <c r="G5"/>
  <c r="G6" s="1"/>
  <c r="B6"/>
  <c r="F6"/>
  <c r="B8"/>
  <c r="E8"/>
  <c r="B9"/>
  <c r="E9"/>
  <c r="E11"/>
  <c r="E12"/>
  <c r="E13"/>
  <c r="B15"/>
  <c r="E15"/>
  <c r="G15"/>
  <c r="B18"/>
  <c r="C18"/>
  <c r="D18"/>
  <c r="F18"/>
  <c r="F56"/>
  <c r="B57"/>
  <c r="C180" i="3" s="1"/>
  <c r="D65" i="2"/>
  <c r="I65"/>
  <c r="N65"/>
  <c r="S65"/>
  <c r="X65"/>
  <c r="D75"/>
  <c r="I75"/>
  <c r="N75"/>
  <c r="S75"/>
  <c r="X75"/>
  <c r="D85"/>
  <c r="I85"/>
  <c r="N85"/>
  <c r="S85"/>
  <c r="X85"/>
  <c r="D95"/>
  <c r="I95"/>
  <c r="N95"/>
  <c r="S95"/>
  <c r="X95"/>
  <c r="D105"/>
  <c r="I105"/>
  <c r="D163"/>
  <c r="I163"/>
  <c r="N163"/>
  <c r="S163"/>
  <c r="X163"/>
  <c r="D173"/>
  <c r="I173"/>
  <c r="N173"/>
  <c r="S173"/>
  <c r="D231"/>
  <c r="I231"/>
  <c r="D242"/>
  <c r="I242"/>
  <c r="N242"/>
  <c r="S242"/>
  <c r="D253"/>
  <c r="I253"/>
  <c r="N253"/>
  <c r="S253"/>
  <c r="D264"/>
  <c r="I264"/>
  <c r="N264"/>
  <c r="D275"/>
  <c r="I275"/>
  <c r="N275"/>
  <c r="D297"/>
  <c r="I297"/>
  <c r="N297"/>
  <c r="S297"/>
  <c r="D333"/>
  <c r="I333"/>
  <c r="N333"/>
  <c r="D367"/>
  <c r="I367"/>
  <c r="N367"/>
  <c r="S367"/>
  <c r="X367"/>
  <c r="N5" i="3"/>
  <c r="G162"/>
  <c r="G154"/>
  <c r="G153"/>
  <c r="G164"/>
  <c r="G168"/>
  <c r="I162"/>
  <c r="J162" s="1"/>
  <c r="M162"/>
  <c r="I158"/>
  <c r="J158" s="1"/>
  <c r="M158"/>
  <c r="I154"/>
  <c r="J154" s="1"/>
  <c r="M154"/>
  <c r="I148"/>
  <c r="J148" s="1"/>
  <c r="M148"/>
  <c r="I142"/>
  <c r="J142" s="1"/>
  <c r="I138"/>
  <c r="J138" s="1"/>
  <c r="M138"/>
  <c r="I134"/>
  <c r="J134" s="1"/>
  <c r="M134"/>
  <c r="I127"/>
  <c r="J127" s="1"/>
  <c r="I119"/>
  <c r="J119" s="1"/>
  <c r="I115"/>
  <c r="J115" s="1"/>
  <c r="I103"/>
  <c r="J103" s="1"/>
  <c r="M103"/>
  <c r="I106"/>
  <c r="J106" s="1"/>
  <c r="M106"/>
  <c r="I110"/>
  <c r="J110" s="1"/>
  <c r="M110"/>
  <c r="I97"/>
  <c r="J97" s="1"/>
  <c r="I92"/>
  <c r="J92" s="1"/>
  <c r="I43"/>
  <c r="J43" s="1"/>
  <c r="M43"/>
  <c r="I39"/>
  <c r="J39" s="1"/>
  <c r="M39"/>
  <c r="I35"/>
  <c r="J35" s="1"/>
  <c r="M35"/>
  <c r="I31"/>
  <c r="J31" s="1"/>
  <c r="M31"/>
  <c r="I22"/>
  <c r="J22" s="1"/>
  <c r="M22"/>
  <c r="I18"/>
  <c r="J18" s="1"/>
  <c r="M18"/>
  <c r="I14"/>
  <c r="J14" s="1"/>
  <c r="M14"/>
  <c r="I164"/>
  <c r="J164" s="1"/>
  <c r="M164"/>
  <c r="I168"/>
  <c r="J168" s="1"/>
  <c r="M168"/>
  <c r="I121"/>
  <c r="J121" s="1"/>
  <c r="M121"/>
  <c r="M144"/>
  <c r="G166"/>
  <c r="M76"/>
  <c r="I159"/>
  <c r="J159" s="1"/>
  <c r="M159"/>
  <c r="G159"/>
  <c r="I155"/>
  <c r="J155" s="1"/>
  <c r="M155"/>
  <c r="I149"/>
  <c r="J149" s="1"/>
  <c r="M149"/>
  <c r="I151"/>
  <c r="J151" s="1"/>
  <c r="M151"/>
  <c r="I139"/>
  <c r="J139" s="1"/>
  <c r="M139"/>
  <c r="I135"/>
  <c r="J135" s="1"/>
  <c r="M135"/>
  <c r="I116"/>
  <c r="J116" s="1"/>
  <c r="M116"/>
  <c r="I104"/>
  <c r="J104" s="1"/>
  <c r="M104"/>
  <c r="I107"/>
  <c r="J107" s="1"/>
  <c r="I108"/>
  <c r="J108" s="1"/>
  <c r="M108"/>
  <c r="I98"/>
  <c r="J98" s="1"/>
  <c r="M98"/>
  <c r="I32"/>
  <c r="J32" s="1"/>
  <c r="I163"/>
  <c r="J163" s="1"/>
  <c r="M163"/>
  <c r="M167"/>
  <c r="M145"/>
  <c r="G165"/>
  <c r="M75"/>
  <c r="M131"/>
  <c r="M128"/>
  <c r="M156"/>
  <c r="I136"/>
  <c r="J136" s="1"/>
  <c r="M132"/>
  <c r="I117"/>
  <c r="J117" s="1"/>
  <c r="I101"/>
  <c r="J101" s="1"/>
  <c r="M109"/>
  <c r="I37"/>
  <c r="J37" s="1"/>
  <c r="M33"/>
  <c r="M25"/>
  <c r="I20"/>
  <c r="J20" s="1"/>
  <c r="M16"/>
  <c r="I166"/>
  <c r="J166" s="1"/>
  <c r="M166"/>
  <c r="I77"/>
  <c r="J77" s="1"/>
  <c r="M77"/>
  <c r="I126"/>
  <c r="J126" s="1"/>
  <c r="M72"/>
  <c r="M93"/>
  <c r="M95"/>
  <c r="M161"/>
  <c r="I157"/>
  <c r="J157" s="1"/>
  <c r="I153"/>
  <c r="J153" s="1"/>
  <c r="M153"/>
  <c r="I141"/>
  <c r="J141" s="1"/>
  <c r="M141"/>
  <c r="I133"/>
  <c r="J133" s="1"/>
  <c r="I125"/>
  <c r="J125" s="1"/>
  <c r="M125"/>
  <c r="I112"/>
  <c r="J112" s="1"/>
  <c r="I105"/>
  <c r="J105" s="1"/>
  <c r="M105"/>
  <c r="I96"/>
  <c r="J96" s="1"/>
  <c r="I42"/>
  <c r="J42" s="1"/>
  <c r="M42"/>
  <c r="I38"/>
  <c r="J38" s="1"/>
  <c r="I34"/>
  <c r="J34" s="1"/>
  <c r="M34"/>
  <c r="I30"/>
  <c r="J30" s="1"/>
  <c r="I26"/>
  <c r="J26" s="1"/>
  <c r="M26"/>
  <c r="I21"/>
  <c r="J21" s="1"/>
  <c r="I17"/>
  <c r="J17" s="1"/>
  <c r="M17"/>
  <c r="M165"/>
  <c r="I70"/>
  <c r="J70" s="1"/>
  <c r="I113"/>
  <c r="J113" s="1"/>
  <c r="M113"/>
  <c r="M130"/>
  <c r="I145"/>
  <c r="J145" s="1"/>
  <c r="I144"/>
  <c r="J144" s="1"/>
  <c r="G145"/>
  <c r="G37"/>
  <c r="G149"/>
  <c r="G151"/>
  <c r="G41"/>
  <c r="G119"/>
  <c r="M123"/>
  <c r="I66"/>
  <c r="J66" s="1"/>
  <c r="G134"/>
  <c r="G123"/>
  <c r="G74"/>
  <c r="I64"/>
  <c r="J64" s="1"/>
  <c r="G124"/>
  <c r="G116"/>
  <c r="G108"/>
  <c r="G98"/>
  <c r="G65"/>
  <c r="M13"/>
  <c r="I10"/>
  <c r="J10" s="1"/>
  <c r="G147"/>
  <c r="G72"/>
  <c r="G141"/>
  <c r="G126"/>
  <c r="M23"/>
  <c r="I71"/>
  <c r="J71" s="1"/>
  <c r="G94"/>
  <c r="G71"/>
  <c r="G43"/>
  <c r="G27"/>
  <c r="M143"/>
  <c r="G11"/>
  <c r="M7"/>
  <c r="M11"/>
  <c r="G7"/>
  <c r="M12"/>
  <c r="G77"/>
  <c r="G97"/>
  <c r="G92"/>
  <c r="G21"/>
  <c r="G17"/>
  <c r="G13"/>
  <c r="I68"/>
  <c r="J68" s="1"/>
  <c r="G113"/>
  <c r="I5"/>
  <c r="J5" s="1"/>
  <c r="G125"/>
  <c r="G70"/>
  <c r="G8"/>
  <c r="G139"/>
  <c r="G135"/>
  <c r="N106"/>
  <c r="N39"/>
  <c r="N35"/>
  <c r="N31"/>
  <c r="N143"/>
  <c r="G118"/>
  <c r="G112"/>
  <c r="G100"/>
  <c r="G96"/>
  <c r="G63"/>
  <c r="G9"/>
  <c r="M9"/>
  <c r="G137"/>
  <c r="G114"/>
  <c r="I114"/>
  <c r="J114" s="1"/>
  <c r="G120"/>
  <c r="G132"/>
  <c r="G131"/>
  <c r="G130"/>
  <c r="M126"/>
  <c r="G121"/>
  <c r="I120"/>
  <c r="J120" s="1"/>
  <c r="G99"/>
  <c r="I95"/>
  <c r="J95" s="1"/>
  <c r="G12"/>
  <c r="M10"/>
  <c r="M8"/>
  <c r="N41"/>
  <c r="N157"/>
  <c r="N129"/>
  <c r="N127"/>
  <c r="N99"/>
  <c r="N92"/>
  <c r="N27"/>
  <c r="N23"/>
  <c r="N17"/>
  <c r="N9"/>
  <c r="N7"/>
  <c r="G152"/>
  <c r="G144"/>
  <c r="G150"/>
  <c r="G66"/>
  <c r="G44"/>
  <c r="G42"/>
  <c r="G38"/>
  <c r="G36"/>
  <c r="G30"/>
  <c r="G26"/>
  <c r="G22"/>
  <c r="G20"/>
  <c r="G18"/>
  <c r="G14"/>
  <c r="G142"/>
  <c r="M91"/>
  <c r="M27" l="1"/>
  <c r="M127"/>
  <c r="D2"/>
  <c r="E2"/>
  <c r="F2"/>
  <c r="C2"/>
  <c r="P125"/>
  <c r="I69"/>
  <c r="J69" s="1"/>
  <c r="G69"/>
  <c r="M129"/>
  <c r="G24"/>
  <c r="M28"/>
  <c r="G28"/>
  <c r="M30"/>
  <c r="G15"/>
  <c r="O6"/>
  <c r="O7" s="1"/>
  <c r="O8" s="1"/>
  <c r="O9" s="1"/>
  <c r="O10" s="1"/>
  <c r="O11" s="1"/>
  <c r="O12" s="1"/>
  <c r="O13" s="1"/>
  <c r="G5"/>
  <c r="I7"/>
  <c r="J7" s="1"/>
  <c r="I27"/>
  <c r="J27" s="1"/>
  <c r="G148"/>
  <c r="N115"/>
  <c r="G19"/>
  <c r="M4"/>
  <c r="I4"/>
  <c r="J4" s="1"/>
  <c r="M114"/>
  <c r="G4"/>
  <c r="M137"/>
  <c r="G10"/>
  <c r="G6"/>
  <c r="M146"/>
  <c r="M140"/>
  <c r="G136"/>
  <c r="M178"/>
  <c r="G117"/>
  <c r="M111"/>
  <c r="G101"/>
  <c r="M99"/>
  <c r="M41"/>
  <c r="M37"/>
  <c r="M29"/>
  <c r="M20"/>
  <c r="G157"/>
  <c r="M147"/>
  <c r="M118"/>
  <c r="M102"/>
  <c r="G105"/>
  <c r="M100"/>
  <c r="M96"/>
  <c r="G163"/>
  <c r="G167"/>
  <c r="M70"/>
  <c r="M36"/>
  <c r="M32"/>
  <c r="M24"/>
  <c r="M19"/>
  <c r="M15"/>
  <c r="G129"/>
  <c r="P22"/>
  <c r="Y455" i="2" s="1"/>
  <c r="G140" i="3"/>
  <c r="G109"/>
  <c r="M74"/>
  <c r="I99"/>
  <c r="J99" s="1"/>
  <c r="M117"/>
  <c r="I146"/>
  <c r="J146" s="1"/>
  <c r="G156"/>
  <c r="N112"/>
  <c r="M152"/>
  <c r="N21"/>
  <c r="M6"/>
  <c r="I122"/>
  <c r="J122" s="1"/>
  <c r="G122"/>
  <c r="G102"/>
  <c r="M63"/>
  <c r="G93"/>
  <c r="G133"/>
  <c r="I65"/>
  <c r="J65" s="1"/>
  <c r="G33"/>
  <c r="G29"/>
  <c r="M38"/>
  <c r="I100"/>
  <c r="J100" s="1"/>
  <c r="I102"/>
  <c r="J102" s="1"/>
  <c r="I118"/>
  <c r="J118" s="1"/>
  <c r="I147"/>
  <c r="J147" s="1"/>
  <c r="I41"/>
  <c r="J41" s="1"/>
  <c r="M101"/>
  <c r="I111"/>
  <c r="J111" s="1"/>
  <c r="M136"/>
  <c r="I140"/>
  <c r="J140" s="1"/>
  <c r="M160"/>
  <c r="I15"/>
  <c r="J15" s="1"/>
  <c r="I36"/>
  <c r="J36" s="1"/>
  <c r="M44"/>
  <c r="M73"/>
  <c r="M142"/>
  <c r="P151"/>
  <c r="Y461" i="2" s="1"/>
  <c r="G111" i="3"/>
  <c r="M67"/>
  <c r="I124"/>
  <c r="J124" s="1"/>
  <c r="M150"/>
  <c r="I24"/>
  <c r="J24" s="1"/>
  <c r="M40"/>
  <c r="M94"/>
  <c r="N30"/>
  <c r="N97"/>
  <c r="G67"/>
  <c r="P77" s="1"/>
  <c r="Y457" i="2" s="1"/>
  <c r="G25" i="3"/>
  <c r="M157"/>
  <c r="M107"/>
  <c r="M119"/>
  <c r="J23"/>
  <c r="O14" l="1"/>
  <c r="O15" s="1"/>
  <c r="O16" s="1"/>
  <c r="O17" s="1"/>
  <c r="O18" s="1"/>
  <c r="O19" s="1"/>
  <c r="O20" s="1"/>
  <c r="O21" s="1"/>
  <c r="O22" s="1"/>
  <c r="O23" s="1"/>
  <c r="O24" s="1"/>
  <c r="O25" s="1"/>
  <c r="O26" s="1"/>
  <c r="O27" s="1"/>
  <c r="O28" s="1"/>
  <c r="O29" s="1"/>
  <c r="O30" s="1"/>
  <c r="O31" s="1"/>
  <c r="O32" s="1"/>
  <c r="O33" s="1"/>
  <c r="O34" s="1"/>
  <c r="O35" s="1"/>
  <c r="O36" s="1"/>
  <c r="O37" s="1"/>
  <c r="O38" s="1"/>
  <c r="O39" s="1"/>
  <c r="O40" s="1"/>
  <c r="O41" s="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O61" s="1"/>
  <c r="O62" s="1"/>
  <c r="O63" s="1"/>
  <c r="O64" s="1"/>
  <c r="O65" s="1"/>
  <c r="O66" s="1"/>
  <c r="O67" s="1"/>
  <c r="O68" s="1"/>
  <c r="O69" s="1"/>
  <c r="O70" s="1"/>
  <c r="O71" s="1"/>
  <c r="O72" s="1"/>
  <c r="O73" s="1"/>
  <c r="O74" s="1"/>
  <c r="O75" s="1"/>
  <c r="O76" s="1"/>
  <c r="O77" s="1"/>
  <c r="O78" s="1"/>
  <c r="O79" s="1"/>
  <c r="O80" s="1"/>
  <c r="O81" s="1"/>
  <c r="O82" s="1"/>
  <c r="O83" s="1"/>
  <c r="O84" s="1"/>
  <c r="O85" s="1"/>
  <c r="O86" s="1"/>
  <c r="O87" s="1"/>
  <c r="O88" s="1"/>
  <c r="O89" s="1"/>
  <c r="O90" s="1"/>
  <c r="O91" s="1"/>
  <c r="O92" s="1"/>
  <c r="O93" s="1"/>
  <c r="O94" s="1"/>
  <c r="O95" s="1"/>
  <c r="P12"/>
  <c r="Y454" i="2" s="1"/>
  <c r="M176" i="3"/>
  <c r="M177"/>
  <c r="P44"/>
  <c r="Y456" i="2" s="1"/>
  <c r="P122" i="3"/>
  <c r="Y458" i="2" s="1"/>
  <c r="P142" i="3"/>
  <c r="Y460" i="2" s="1"/>
  <c r="P168" i="3"/>
  <c r="Y462" i="2" s="1"/>
  <c r="J175" i="3"/>
  <c r="D60" i="4" s="1"/>
  <c r="I175" i="3"/>
  <c r="O96" l="1"/>
  <c r="D185"/>
  <c r="F185" s="1"/>
  <c r="D184"/>
  <c r="F184" s="1"/>
  <c r="D182"/>
  <c r="F182" s="1"/>
  <c r="H22" i="5"/>
  <c r="D181" i="3"/>
  <c r="D57" i="4"/>
  <c r="E180" i="3" s="1"/>
  <c r="D183"/>
  <c r="F183" s="1"/>
  <c r="O97" l="1"/>
  <c r="F181"/>
  <c r="G181" s="1"/>
  <c r="G182" s="1"/>
  <c r="G183" s="1"/>
  <c r="D187"/>
  <c r="Y459" i="2"/>
  <c r="Y465" s="1"/>
  <c r="O98" i="3" l="1"/>
  <c r="G184"/>
  <c r="Y466" i="2"/>
  <c r="O99" i="3" l="1"/>
  <c r="G185"/>
  <c r="G186" s="1"/>
  <c r="F171"/>
  <c r="C171"/>
  <c r="Y469" i="2"/>
  <c r="Z1" s="1"/>
  <c r="O100" i="3" l="1"/>
  <c r="D58" i="4"/>
  <c r="D59"/>
  <c r="C59" s="1"/>
  <c r="G171" i="3"/>
  <c r="O101" l="1"/>
  <c r="H21" i="5"/>
  <c r="C58" i="4"/>
  <c r="O102" i="3" l="1"/>
  <c r="O103" l="1"/>
  <c r="O104" l="1"/>
  <c r="O105" l="1"/>
  <c r="O106" l="1"/>
  <c r="O107" l="1"/>
  <c r="O108" l="1"/>
  <c r="O109" l="1"/>
  <c r="O110" l="1"/>
  <c r="O111" l="1"/>
  <c r="O112" l="1"/>
  <c r="O113" l="1"/>
  <c r="O114" s="1"/>
  <c r="O115" s="1"/>
  <c r="O116" s="1"/>
  <c r="O117" s="1"/>
  <c r="O118" s="1"/>
  <c r="O119" s="1"/>
  <c r="O120" s="1"/>
  <c r="O121" s="1"/>
  <c r="O122" s="1"/>
  <c r="O123" s="1"/>
  <c r="O124" s="1"/>
  <c r="O125" s="1"/>
  <c r="O126" s="1"/>
  <c r="O127" s="1"/>
  <c r="O128" s="1"/>
  <c r="O129" s="1"/>
  <c r="O130" s="1"/>
  <c r="O131" s="1"/>
  <c r="O132" s="1"/>
  <c r="O133" s="1"/>
  <c r="O134" s="1"/>
  <c r="O135" s="1"/>
  <c r="O136" s="1"/>
  <c r="O137" s="1"/>
  <c r="O138" s="1"/>
  <c r="O139" s="1"/>
  <c r="O140" s="1"/>
  <c r="O141" s="1"/>
  <c r="O142" s="1"/>
  <c r="O143" s="1"/>
  <c r="O144" s="1"/>
  <c r="O145" s="1"/>
  <c r="O146" s="1"/>
  <c r="O147" s="1"/>
  <c r="O148" s="1"/>
  <c r="O149" s="1"/>
  <c r="O150" s="1"/>
  <c r="O151" s="1"/>
  <c r="O152" s="1"/>
  <c r="O153" s="1"/>
  <c r="O154" s="1"/>
  <c r="O155" s="1"/>
  <c r="O156" s="1"/>
  <c r="O157" s="1"/>
  <c r="O158" s="1"/>
  <c r="O159" s="1"/>
  <c r="O160" s="1"/>
  <c r="O161" s="1"/>
  <c r="O162" s="1"/>
  <c r="O163" s="1"/>
  <c r="O164" s="1"/>
  <c r="O165" s="1"/>
  <c r="O166" s="1"/>
  <c r="O167" s="1"/>
  <c r="O168" s="1"/>
  <c r="O169" s="1"/>
  <c r="O170" s="1"/>
  <c r="O171" l="1"/>
  <c r="O172" s="1"/>
  <c r="O173" s="1"/>
  <c r="D56" i="5"/>
  <c r="I56"/>
  <c r="F56"/>
  <c r="C56"/>
  <c r="G56"/>
  <c r="E56"/>
  <c r="G38"/>
  <c r="G45"/>
  <c r="E37"/>
  <c r="E49"/>
  <c r="I42"/>
  <c r="D43"/>
  <c r="E50"/>
  <c r="G50"/>
  <c r="D59"/>
  <c r="I34"/>
  <c r="C45"/>
  <c r="G52"/>
  <c r="F50"/>
  <c r="C58"/>
  <c r="D60"/>
  <c r="C42"/>
  <c r="G41"/>
  <c r="D32"/>
  <c r="C30"/>
  <c r="C60"/>
  <c r="E55"/>
  <c r="F58"/>
  <c r="G40"/>
  <c r="I50"/>
  <c r="J50" s="1"/>
  <c r="F52"/>
  <c r="C59"/>
  <c r="E34"/>
  <c r="C50"/>
  <c r="C55"/>
  <c r="I28"/>
  <c r="F36"/>
  <c r="D33"/>
  <c r="E38"/>
  <c r="I48"/>
  <c r="I57"/>
  <c r="I33"/>
  <c r="C52"/>
  <c r="C31"/>
  <c r="E28"/>
  <c r="C48"/>
  <c r="I29"/>
  <c r="C47"/>
  <c r="I52"/>
  <c r="G34"/>
  <c r="D41"/>
  <c r="C49"/>
  <c r="F33"/>
  <c r="C37"/>
  <c r="G46"/>
  <c r="D31"/>
  <c r="D37"/>
  <c r="G58"/>
  <c r="F29"/>
  <c r="I36"/>
  <c r="I55"/>
  <c r="J55" s="1"/>
  <c r="C53"/>
  <c r="D57"/>
  <c r="D28"/>
  <c r="I38"/>
  <c r="J38" s="1"/>
  <c r="F37"/>
  <c r="E33"/>
  <c r="F55"/>
  <c r="F41"/>
  <c r="F51"/>
  <c r="F59"/>
  <c r="F49"/>
  <c r="D49"/>
  <c r="I41"/>
  <c r="D45"/>
  <c r="D53"/>
  <c r="E31"/>
  <c r="E51"/>
  <c r="F57"/>
  <c r="I39"/>
  <c r="G57"/>
  <c r="E30"/>
  <c r="I47"/>
  <c r="I54"/>
  <c r="D38"/>
  <c r="I37"/>
  <c r="J37" s="1"/>
  <c r="G47"/>
  <c r="G39"/>
  <c r="I60"/>
  <c r="G54"/>
  <c r="C28"/>
  <c r="F28"/>
  <c r="F48"/>
  <c r="F47"/>
  <c r="G44"/>
  <c r="G55"/>
  <c r="D30"/>
  <c r="D52"/>
  <c r="C38"/>
  <c r="D46"/>
  <c r="F46"/>
  <c r="F53"/>
  <c r="E43"/>
  <c r="G37"/>
  <c r="D48"/>
  <c r="D58"/>
  <c r="I49"/>
  <c r="J49" s="1"/>
  <c r="E29"/>
  <c r="C36"/>
  <c r="F39"/>
  <c r="G33"/>
  <c r="D29"/>
  <c r="G42"/>
  <c r="E57"/>
  <c r="G51"/>
  <c r="I31"/>
  <c r="J31" s="1"/>
  <c r="G53"/>
  <c r="C43"/>
  <c r="C35"/>
  <c r="D50"/>
  <c r="D42"/>
  <c r="F40"/>
  <c r="E40"/>
  <c r="I53"/>
  <c r="D51"/>
  <c r="E59"/>
  <c r="F38"/>
  <c r="D35"/>
  <c r="F30"/>
  <c r="F45"/>
  <c r="I32"/>
  <c r="D36"/>
  <c r="E36"/>
  <c r="C39"/>
  <c r="G30"/>
  <c r="F43"/>
  <c r="G49"/>
  <c r="E46"/>
  <c r="F44"/>
  <c r="C46"/>
  <c r="C54"/>
  <c r="I59"/>
  <c r="J59" s="1"/>
  <c r="D54"/>
  <c r="G31"/>
  <c r="F31"/>
  <c r="E58"/>
  <c r="I30"/>
  <c r="J30" s="1"/>
  <c r="C32"/>
  <c r="D34"/>
  <c r="F60"/>
  <c r="E54"/>
  <c r="E52"/>
  <c r="I58"/>
  <c r="G48"/>
  <c r="D39"/>
  <c r="I46"/>
  <c r="J46" s="1"/>
  <c r="F35"/>
  <c r="E41"/>
  <c r="C29"/>
  <c r="E45"/>
  <c r="E39"/>
  <c r="C57"/>
  <c r="F34"/>
  <c r="E48"/>
  <c r="E53"/>
  <c r="D55"/>
  <c r="E47"/>
  <c r="G32"/>
  <c r="G60"/>
  <c r="E42"/>
  <c r="J42" s="1"/>
  <c r="C51"/>
  <c r="G36"/>
  <c r="E60"/>
  <c r="I43"/>
  <c r="J43" s="1"/>
  <c r="D47"/>
  <c r="C44"/>
  <c r="F54"/>
  <c r="I51"/>
  <c r="J51" s="1"/>
  <c r="E32"/>
  <c r="G35"/>
  <c r="I35"/>
  <c r="D44"/>
  <c r="D40"/>
  <c r="C34"/>
  <c r="I40"/>
  <c r="G59"/>
  <c r="G43"/>
  <c r="F32"/>
  <c r="F42"/>
  <c r="G28"/>
  <c r="I44"/>
  <c r="I45"/>
  <c r="J45" s="1"/>
  <c r="E35"/>
  <c r="C40"/>
  <c r="C41"/>
  <c r="C33"/>
  <c r="G29"/>
  <c r="E44"/>
  <c r="J40" l="1"/>
  <c r="J58"/>
  <c r="D25" i="4"/>
  <c r="F43"/>
  <c r="C31"/>
  <c r="F24"/>
  <c r="F25"/>
  <c r="F45"/>
  <c r="C36"/>
  <c r="C48"/>
  <c r="D30"/>
  <c r="F48"/>
  <c r="F52"/>
  <c r="C22"/>
  <c r="D37"/>
  <c r="D24"/>
  <c r="C29"/>
  <c r="F35"/>
  <c r="C55"/>
  <c r="D47"/>
  <c r="C25"/>
  <c r="D34"/>
  <c r="F29"/>
  <c r="F31"/>
  <c r="D43"/>
  <c r="C46"/>
  <c r="C28"/>
  <c r="D36"/>
  <c r="F34"/>
  <c r="C35"/>
  <c r="F21"/>
  <c r="D45"/>
  <c r="D54"/>
  <c r="C39"/>
  <c r="D38"/>
  <c r="C54"/>
  <c r="C45"/>
  <c r="F36"/>
  <c r="D53"/>
  <c r="D55"/>
  <c r="D26"/>
  <c r="D49"/>
  <c r="D40"/>
  <c r="D51"/>
  <c r="F51"/>
  <c r="F30"/>
  <c r="F33"/>
  <c r="D35"/>
  <c r="C30"/>
  <c r="C37"/>
  <c r="D32"/>
  <c r="D42"/>
  <c r="F23"/>
  <c r="D46"/>
  <c r="D28"/>
  <c r="C49"/>
  <c r="F28"/>
  <c r="F42"/>
  <c r="D22"/>
  <c r="F55"/>
  <c r="C43"/>
  <c r="C40"/>
  <c r="D23"/>
  <c r="D48"/>
  <c r="F37"/>
  <c r="C27"/>
  <c r="F32"/>
  <c r="C33"/>
  <c r="C53"/>
  <c r="F40"/>
  <c r="C34"/>
  <c r="D29"/>
  <c r="B27"/>
  <c r="B45"/>
  <c r="B40"/>
  <c r="F50"/>
  <c r="B53"/>
  <c r="F54"/>
  <c r="C41"/>
  <c r="B22"/>
  <c r="B31"/>
  <c r="B55"/>
  <c r="F22"/>
  <c r="B33"/>
  <c r="C23"/>
  <c r="C24"/>
  <c r="F26"/>
  <c r="B35"/>
  <c r="B28"/>
  <c r="B39"/>
  <c r="C50"/>
  <c r="D52"/>
  <c r="B47"/>
  <c r="C52"/>
  <c r="C44"/>
  <c r="F44"/>
  <c r="B52"/>
  <c r="B49"/>
  <c r="B44"/>
  <c r="B38"/>
  <c r="C51"/>
  <c r="F41"/>
  <c r="D33"/>
  <c r="D31"/>
  <c r="B34"/>
  <c r="B50"/>
  <c r="F39"/>
  <c r="B41"/>
  <c r="B36"/>
  <c r="B26"/>
  <c r="D27"/>
  <c r="C21"/>
  <c r="B37"/>
  <c r="B30"/>
  <c r="D41"/>
  <c r="D21"/>
  <c r="D39"/>
  <c r="F46"/>
  <c r="B48"/>
  <c r="F38"/>
  <c r="G38" s="1"/>
  <c r="F49"/>
  <c r="G49" s="1"/>
  <c r="B25"/>
  <c r="B43"/>
  <c r="F47"/>
  <c r="G47" s="1"/>
  <c r="B29"/>
  <c r="B51"/>
  <c r="F27"/>
  <c r="G27" s="1"/>
  <c r="B42"/>
  <c r="B23"/>
  <c r="B21"/>
  <c r="B46"/>
  <c r="B32"/>
  <c r="D50"/>
  <c r="C32"/>
  <c r="D44"/>
  <c r="B54"/>
  <c r="C38"/>
  <c r="F53"/>
  <c r="G53" s="1"/>
  <c r="B24"/>
  <c r="C42"/>
  <c r="C47"/>
  <c r="C26"/>
  <c r="C20"/>
  <c r="D20"/>
  <c r="F20"/>
  <c r="B20"/>
  <c r="J53" i="5"/>
  <c r="J54"/>
  <c r="J39"/>
  <c r="J36"/>
  <c r="J48"/>
  <c r="J28"/>
  <c r="J34"/>
  <c r="J35"/>
  <c r="J60"/>
  <c r="J52"/>
  <c r="J57"/>
  <c r="J41"/>
  <c r="J33"/>
  <c r="J56"/>
  <c r="J44"/>
  <c r="J32"/>
  <c r="J47"/>
  <c r="J29"/>
  <c r="G39" i="4" l="1"/>
  <c r="G22"/>
  <c r="G20"/>
  <c r="G26"/>
  <c r="G32"/>
  <c r="G33"/>
  <c r="G21"/>
  <c r="G29"/>
  <c r="G25"/>
  <c r="J61" i="5"/>
  <c r="J62" s="1"/>
  <c r="J63" s="1"/>
  <c r="G44" i="4"/>
  <c r="G50"/>
  <c r="G55"/>
  <c r="G31"/>
  <c r="G48"/>
  <c r="G45"/>
  <c r="G43"/>
  <c r="G37"/>
  <c r="G28"/>
  <c r="G23"/>
  <c r="G51"/>
  <c r="G34"/>
  <c r="G52"/>
  <c r="G46"/>
  <c r="G41"/>
  <c r="G54"/>
  <c r="G40"/>
  <c r="G42"/>
  <c r="G30"/>
  <c r="G36"/>
  <c r="G35"/>
  <c r="G24"/>
  <c r="G56" l="1"/>
  <c r="G57" s="1"/>
  <c r="G58" s="1"/>
  <c r="F49" i="3"/>
  <c r="G49" s="1"/>
  <c r="G175" s="1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463" author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464" author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467" authorId="1">
      <text>
        <r>
          <rPr>
            <b/>
            <sz val="9"/>
            <color indexed="81"/>
            <rFont val="Tahoma"/>
            <family val="2"/>
          </rPr>
          <t>1 to 10 cuts = $12
11 to 20 cuts = $24
21 to 30 cuts = $36
31 to 40 cuts = $48
41 to 50 cuts = $60
51 to 60 cuts = $72
More than 60 cuts = Quote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 Flexpipe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Flexpipe Flexpipe:</t>
        </r>
        <r>
          <rPr>
            <sz val="9"/>
            <color indexed="81"/>
            <rFont val="Tahoma"/>
            <family val="2"/>
          </rPr>
          <t xml:space="preserve">
Rajout de 10% pour inclure l»'emballage (carton, pallette, stretch film etc…) et en meme temps une marge d'erreur pour pas se tromper avec les prix de transport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<sst xmlns="http://schemas.openxmlformats.org/spreadsheetml/2006/main" count="1354" uniqueCount="669">
  <si>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</si>
  <si>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</si>
  <si>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</si>
  <si>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</si>
  <si>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</si>
  <si>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</si>
  <si>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</si>
  <si>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</si>
  <si>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</si>
  <si>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Front pipe hanger</t>
  </si>
  <si>
    <t>Pipe clamp single mount</t>
  </si>
  <si>
    <t>Pipe clamp double mount</t>
  </si>
  <si>
    <t>Swivel stopper</t>
  </si>
  <si>
    <t>Corner metal support</t>
  </si>
  <si>
    <t>Phone:</t>
  </si>
  <si>
    <t>PIPES:</t>
  </si>
  <si>
    <t>ACCESSORIES:</t>
  </si>
  <si>
    <t>SUB-TOTAL</t>
  </si>
  <si>
    <t>PIPES</t>
  </si>
  <si>
    <t>Track connector</t>
  </si>
  <si>
    <t>T connector</t>
  </si>
  <si>
    <t xml:space="preserve">Swivel angle </t>
  </si>
  <si>
    <t>To make handle</t>
  </si>
  <si>
    <t>4 ways corner</t>
  </si>
  <si>
    <t>4 ways cross</t>
  </si>
  <si>
    <t>6 ways</t>
  </si>
  <si>
    <t>Small tote hanger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</si>
  <si>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</si>
  <si>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</si>
  <si>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</si>
  <si>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</si>
  <si>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</si>
  <si>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</si>
  <si>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</si>
  <si>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</si>
  <si>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</si>
  <si>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</si>
  <si>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</si>
  <si>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</si>
  <si>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</si>
  <si>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</si>
  <si>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</si>
  <si>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</si>
  <si>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</si>
  <si>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</si>
  <si>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</si>
  <si>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</si>
  <si>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</si>
  <si>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</si>
  <si>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</si>
  <si>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</si>
  <si>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</si>
  <si>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</si>
  <si>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</si>
  <si>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</si>
  <si>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</si>
  <si>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</si>
  <si>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</si>
  <si>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</si>
  <si>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</si>
  <si>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</si>
  <si>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</si>
  <si>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</si>
  <si>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</si>
  <si>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</si>
  <si>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</si>
  <si>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</si>
  <si>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</si>
  <si>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</si>
  <si>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</si>
  <si>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</si>
  <si>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</si>
  <si>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</si>
  <si>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</si>
  <si>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</si>
  <si>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</si>
  <si>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</si>
  <si>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</si>
  <si>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</si>
  <si>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</si>
  <si>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</si>
  <si>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</si>
  <si>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</si>
  <si>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</si>
  <si>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</si>
  <si>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</si>
  <si>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</si>
  <si>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</si>
  <si>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</si>
  <si>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</si>
  <si>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</si>
  <si>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</si>
  <si>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</si>
  <si>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</si>
  <si>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</si>
  <si>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</si>
  <si>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</si>
  <si>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</si>
  <si>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</si>
  <si>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</si>
  <si>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</si>
  <si>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</si>
  <si>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</si>
  <si>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</si>
  <si>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</si>
  <si>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</si>
  <si>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</si>
  <si>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</si>
  <si>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</si>
  <si>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</si>
  <si>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</si>
  <si>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of sheet of 48'' X 96''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</si>
  <si>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</si>
  <si>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</si>
  <si>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</si>
  <si>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</si>
  <si>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</si>
  <si>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</si>
  <si>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</si>
  <si>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</si>
  <si>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</si>
  <si>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</si>
  <si>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</si>
  <si>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</si>
  <si>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</si>
  <si>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</si>
  <si>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</si>
  <si>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</si>
  <si>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</si>
  <si>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</si>
  <si>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</si>
  <si>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</si>
  <si>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</si>
  <si>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</si>
  <si>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</si>
  <si>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</si>
  <si>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</si>
  <si>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</si>
  <si>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</si>
  <si>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</si>
  <si>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</si>
  <si>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</si>
  <si>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</si>
  <si>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</si>
  <si>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</si>
  <si>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</si>
  <si>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</si>
  <si>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</si>
  <si>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</si>
  <si>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</si>
  <si>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</si>
  <si>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</si>
  <si>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</si>
  <si>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</si>
  <si>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</si>
  <si>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</si>
  <si>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</si>
  <si>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</si>
  <si>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</si>
  <si>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</si>
  <si>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</si>
  <si>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</si>
  <si>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</si>
  <si>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</si>
  <si>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</si>
  <si>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8428.90.0290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</si>
  <si>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</si>
  <si>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</si>
  <si>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</si>
  <si>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</si>
  <si>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</si>
  <si>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</si>
  <si>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</si>
  <si>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</si>
  <si>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</si>
  <si>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Middle stopper</t>
  </si>
  <si>
    <t>Surface clip</t>
  </si>
  <si>
    <t>WORKSTATION TOOLS</t>
  </si>
  <si>
    <t>Levelling shim for surface</t>
  </si>
  <si>
    <t>CAPS AND PLUGS</t>
  </si>
  <si>
    <t>Outside leveler</t>
  </si>
  <si>
    <t>Inside leveler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</si>
  <si>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</si>
  <si>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</si>
  <si>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</si>
  <si>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</si>
  <si>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</si>
  <si>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</si>
  <si>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</si>
  <si>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</si>
  <si>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</si>
  <si>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</si>
  <si>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</si>
  <si>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</si>
  <si>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</si>
  <si>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</si>
  <si>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</si>
  <si>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</si>
  <si>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</si>
  <si>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</si>
  <si>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</si>
  <si>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</si>
  <si>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</si>
  <si>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</si>
  <si>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</si>
  <si>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</si>
  <si>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</si>
  <si>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</si>
  <si>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</si>
  <si>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</si>
  <si>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</si>
  <si>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</si>
  <si>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</si>
  <si>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</si>
  <si>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</si>
  <si>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</si>
  <si>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</si>
  <si>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</si>
  <si>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</si>
  <si>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</si>
  <si>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</si>
  <si>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</si>
  <si>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</si>
  <si>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</si>
  <si>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</si>
  <si>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</si>
  <si>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</si>
  <si>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</si>
  <si>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</si>
  <si>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</si>
  <si>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</si>
  <si>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</si>
  <si>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</si>
  <si>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</si>
  <si>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</si>
  <si>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</si>
  <si>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</si>
  <si>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</si>
  <si>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</si>
  <si>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</si>
  <si>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</si>
  <si>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</si>
  <si>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</si>
  <si>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</si>
  <si>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</si>
  <si>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</si>
  <si>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</si>
  <si>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</si>
  <si>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</si>
  <si>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2 ways joint</t>
  </si>
  <si>
    <t>4 ways corner joint</t>
  </si>
  <si>
    <t>5 ways joint</t>
  </si>
  <si>
    <t>4 ways joint</t>
  </si>
  <si>
    <t>6 ways joint</t>
  </si>
  <si>
    <t>Intersection joint</t>
  </si>
  <si>
    <t>Intersection open joint</t>
  </si>
  <si>
    <t>Flat clamp joint</t>
  </si>
  <si>
    <t>Hinge joint</t>
  </si>
  <si>
    <t>Parallel joint</t>
  </si>
  <si>
    <t>Double pivot joint</t>
  </si>
  <si>
    <t>Pivot joint</t>
  </si>
  <si>
    <t>End pivot  joint</t>
  </si>
  <si>
    <t>Parallel hinge joint</t>
  </si>
  <si>
    <t>End cap for standard pipe</t>
  </si>
  <si>
    <t>AI-SUPPORT</t>
  </si>
  <si>
    <t>Tool holder</t>
  </si>
  <si>
    <t>Roller hanger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</si>
  <si>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</si>
  <si>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</si>
  <si>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</si>
  <si>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</si>
  <si>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</si>
  <si>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</si>
  <si>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</si>
  <si>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</si>
  <si>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</si>
  <si>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</si>
  <si>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</si>
  <si>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</si>
  <si>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</si>
  <si>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</si>
  <si>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</si>
  <si>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</si>
  <si>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</si>
  <si>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</si>
  <si>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</si>
  <si>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</si>
  <si>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</si>
  <si>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</si>
  <si>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</si>
  <si>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</si>
  <si>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</si>
  <si>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</si>
  <si>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</si>
  <si>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</si>
  <si>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</si>
  <si>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</si>
  <si>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</si>
  <si>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</si>
  <si>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</si>
  <si>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</si>
  <si>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</si>
  <si>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</si>
  <si>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</si>
  <si>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</si>
  <si>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</si>
  <si>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</si>
  <si>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</si>
  <si>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</si>
  <si>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</si>
  <si>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</si>
  <si>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</si>
  <si>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Hinge bracket: use with HJ-12 and HJ-19</t>
  </si>
  <si>
    <t>Pipe connector</t>
  </si>
  <si>
    <t>LEVELERS AND FEET</t>
  </si>
  <si>
    <t>Rubber foot</t>
  </si>
  <si>
    <t>Track union</t>
  </si>
  <si>
    <t xml:space="preserve">5 ways </t>
  </si>
  <si>
    <t>H2 (2) + H4 + M6 (3)</t>
  </si>
  <si>
    <t>H2 (4) + M6 (4)</t>
  </si>
  <si>
    <t>H4 (2) + M6 (2)</t>
  </si>
  <si>
    <t>H2 + H3 + M6 (2)</t>
  </si>
  <si>
    <t xml:space="preserve">H1 (2) + M6 </t>
  </si>
  <si>
    <t>H-1 (2) + M6</t>
  </si>
  <si>
    <t>H-2 + H-3 + M6 (2)</t>
  </si>
  <si>
    <t>H-4 (2) + M6 (2)</t>
  </si>
  <si>
    <t>H-2 (4) + M6 (4)</t>
  </si>
  <si>
    <t xml:space="preserve"> H-5 (2) + H-6 (2) + M6 (2)</t>
  </si>
  <si>
    <t>H-7 (2) + M6</t>
  </si>
  <si>
    <t>H-13 (2) + M6</t>
  </si>
  <si>
    <t>HJ-90</t>
  </si>
  <si>
    <t>M6-25BWZ</t>
  </si>
  <si>
    <t>M6-NWZ</t>
  </si>
  <si>
    <t>for box of</t>
  </si>
  <si>
    <t>8' Steel roller track (ESD)</t>
  </si>
  <si>
    <t>Roller stainless decelarator</t>
  </si>
  <si>
    <t>8' Plastic roller guide</t>
  </si>
  <si>
    <t>Side foot joint</t>
  </si>
  <si>
    <t>Flat foot joint</t>
  </si>
  <si>
    <t>45⁰ fix angle joint</t>
  </si>
  <si>
    <t>90⁰ fix angle joint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</si>
  <si>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</si>
  <si>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</si>
  <si>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</si>
  <si>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</si>
  <si>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</si>
  <si>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</si>
  <si>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</si>
  <si>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</si>
  <si>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</si>
  <si>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</si>
  <si>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</si>
  <si>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</si>
  <si>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</si>
  <si>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</si>
  <si>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Quick release strap</t>
  </si>
  <si>
    <t>Metric screw for joints</t>
  </si>
  <si>
    <t>Metric nut for joints</t>
  </si>
  <si>
    <t>Metric screw for nickel plated joints</t>
  </si>
  <si>
    <t>Metric nut for nickel plated joints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</si>
  <si>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</si>
  <si>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</si>
  <si>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</si>
  <si>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</si>
  <si>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</si>
  <si>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</si>
  <si>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</si>
  <si>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</si>
  <si>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</si>
  <si>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</si>
  <si>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</si>
  <si>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</si>
  <si>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</si>
  <si>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</si>
  <si>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</si>
  <si>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</si>
  <si>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</si>
  <si>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</si>
  <si>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</si>
  <si>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</si>
  <si>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</si>
  <si>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</si>
  <si>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</si>
  <si>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</si>
  <si>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</si>
  <si>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</si>
  <si>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</si>
  <si>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</si>
  <si>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</si>
  <si>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</si>
  <si>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</si>
  <si>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</si>
  <si>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</si>
  <si>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</si>
  <si>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</si>
  <si>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</si>
  <si>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</si>
  <si>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</si>
  <si>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</si>
  <si>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</si>
  <si>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</si>
  <si>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</si>
  <si>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</si>
  <si>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</si>
  <si>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</si>
  <si>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</si>
  <si>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</si>
  <si>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</si>
  <si>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</si>
  <si>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</si>
  <si>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</si>
  <si>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</si>
  <si>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</si>
  <si>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</si>
  <si>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</si>
  <si>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</si>
  <si>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</si>
  <si>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</si>
  <si>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</si>
  <si>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</si>
  <si>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</si>
  <si>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</si>
  <si>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</si>
  <si>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</si>
  <si>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</si>
  <si>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</si>
  <si>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</si>
  <si>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</si>
  <si>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</si>
  <si>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</si>
  <si>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Small starter kit to build               1-2 structures</t>
  </si>
  <si>
    <t>Kit</t>
  </si>
  <si>
    <t>WF-LARGE</t>
  </si>
  <si>
    <t>Starter kit to build                   4-5 structures</t>
  </si>
  <si>
    <t>Starter kit to mainly build       4-5 cart structures</t>
  </si>
  <si>
    <t>Starter kit to mainly build       4-5 workstation structures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</si>
  <si>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</si>
  <si>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</si>
  <si>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</si>
  <si>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</si>
  <si>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</si>
  <si>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</si>
  <si>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WEIGHT + 10%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</si>
  <si>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</si>
  <si>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</si>
  <si>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</si>
  <si>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</si>
  <si>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</si>
  <si>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</si>
  <si>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Si le poid est plus grand que 15 et si il y a tube ou feuilles et que le poids total est plus grand que 1500 donc 2 palettes sinon 1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</si>
  <si>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</si>
  <si>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</si>
  <si>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</si>
  <si>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</si>
  <si>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</si>
  <si>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</si>
  <si>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</si>
  <si>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</si>
  <si>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</si>
  <si>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</si>
  <si>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</si>
  <si>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</si>
  <si>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</si>
  <si>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</si>
  <si>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</si>
  <si>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</si>
  <si>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H-2 (2) + H-4 + M6 (3)</t>
  </si>
  <si>
    <t>White steel pipe PE coated 1.125'' X 96''</t>
  </si>
  <si>
    <t>Blue steel pipe PE coated 1.125'' X 96''</t>
  </si>
  <si>
    <t>Grey steel pipe PE coated 1.125'' X 96''</t>
  </si>
  <si>
    <t>Red steel pipe PE coated 1.125'' X 96''</t>
  </si>
  <si>
    <t>Orange steel pipe PE coated 1.125'' X 96''</t>
  </si>
  <si>
    <t>Black steel pipe ABS coated 1.125'' X 96''</t>
  </si>
  <si>
    <t>Steel joint black powder coated</t>
  </si>
  <si>
    <t>Steel joint nickel plated (ESD)</t>
  </si>
  <si>
    <t>Flexpipe crib: Unassembled pre-cut racking unit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</si>
  <si>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</si>
  <si>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</si>
  <si>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</si>
  <si>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</si>
  <si>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</si>
  <si>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H-90 (2) + M6 (2)</t>
  </si>
  <si>
    <t>EP-96-ST</t>
  </si>
  <si>
    <t>Stainless steel pipe 1.125'' X 96''</t>
  </si>
  <si>
    <t>F-A85/8</t>
  </si>
  <si>
    <t>F-C61</t>
  </si>
  <si>
    <t>F-BUS</t>
  </si>
  <si>
    <t>T-handle allen key 5mm for M6</t>
  </si>
  <si>
    <t>T-BIT</t>
  </si>
  <si>
    <t>AP-ICAP2</t>
  </si>
  <si>
    <t>End cap for stainless steel pipe</t>
  </si>
  <si>
    <t>Bushing for 8mm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</si>
  <si>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</si>
  <si>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</si>
  <si>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</si>
  <si>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</si>
  <si>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</si>
  <si>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</si>
  <si>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</si>
  <si>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</si>
  <si>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</si>
  <si>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</si>
  <si>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</si>
  <si>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</si>
  <si>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</si>
  <si>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(450)531-3677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</si>
  <si>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</si>
  <si>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</si>
  <si>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</si>
  <si>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</si>
  <si>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</si>
  <si>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</si>
  <si>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</si>
  <si>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</si>
  <si>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</si>
  <si>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</si>
  <si>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t>Ivory steel pipe PE coated 1.125'' X 96''</t>
  </si>
  <si>
    <t>2mm blue steel pipe PE coated 1.125'' X 96''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</si>
  <si>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</si>
  <si>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</si>
  <si>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</si>
  <si>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</si>
  <si>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Track mount center stabilizer</t>
  </si>
  <si>
    <t>8' Plastic Center 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</si>
  <si>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</si>
  <si>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</si>
  <si>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</si>
  <si>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</si>
  <si>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</si>
  <si>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</si>
  <si>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</si>
  <si>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</si>
  <si>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</si>
  <si>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</si>
  <si>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</si>
  <si>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</si>
  <si>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</si>
  <si>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H-12 (2) + AP-HINGE + M6</t>
  </si>
  <si>
    <t>To make hinge applications</t>
  </si>
  <si>
    <t>HJ-19NP</t>
  </si>
  <si>
    <t xml:space="preserve">H-19 (2) + AP-HINGE + M6 </t>
  </si>
  <si>
    <t>Parallel hinge</t>
  </si>
  <si>
    <t>WF-RPLATE</t>
  </si>
  <si>
    <t>WF-LPLATE</t>
  </si>
  <si>
    <t>Left metal corner reinforcement plate</t>
  </si>
  <si>
    <t>Right metal corner reinforcement 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</si>
  <si>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</si>
  <si>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</si>
  <si>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</si>
  <si>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</si>
  <si>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</si>
  <si>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</si>
  <si>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</si>
  <si>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14" sliding rail</t>
  </si>
  <si>
    <t>20" sliding rail</t>
  </si>
  <si>
    <t>24" sliding rail</t>
  </si>
  <si>
    <t>Sliding rail support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</si>
  <si>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</si>
  <si>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</si>
  <si>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</si>
  <si>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</si>
  <si>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</si>
  <si>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</si>
  <si>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</si>
  <si>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</si>
  <si>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</si>
  <si>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</si>
  <si>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Steel joint zinc coated</t>
  </si>
  <si>
    <t>Pair</t>
  </si>
  <si>
    <t>Salesperson:</t>
  </si>
  <si>
    <t>METAL SINGLE JOINT</t>
  </si>
  <si>
    <t>METAL JOINT SET</t>
  </si>
  <si>
    <t>NICKEL PLATED ANTI-STATIC (ESD) SINGLE JOINT</t>
  </si>
  <si>
    <t>CASTERS</t>
  </si>
  <si>
    <t xml:space="preserve">CART TOOLS/ LABELS </t>
  </si>
  <si>
    <r>
      <t xml:space="preserve">Metric screw                   </t>
    </r>
    <r>
      <rPr>
        <b/>
        <sz val="11"/>
        <color indexed="53"/>
        <rFont val="Arial"/>
        <family val="2"/>
      </rPr>
      <t>only</t>
    </r>
    <r>
      <rPr>
        <sz val="11"/>
        <color indexed="9"/>
        <rFont val="Arial"/>
        <family val="2"/>
      </rPr>
      <t xml:space="preserve"> for HJ-15 joint</t>
    </r>
  </si>
  <si>
    <r>
      <t xml:space="preserve">Metric screw                   </t>
    </r>
    <r>
      <rPr>
        <b/>
        <sz val="11"/>
        <color indexed="53"/>
        <rFont val="Arial"/>
        <family val="2"/>
      </rPr>
      <t>only</t>
    </r>
    <r>
      <rPr>
        <sz val="11"/>
        <color indexed="9"/>
        <rFont val="Arial"/>
        <family val="2"/>
      </rPr>
      <t xml:space="preserve"> for HJ-15NP joint</t>
    </r>
  </si>
  <si>
    <r>
      <t xml:space="preserve">H15 + H16 + </t>
    </r>
    <r>
      <rPr>
        <b/>
        <sz val="11"/>
        <color indexed="53"/>
        <rFont val="Arial"/>
        <family val="2"/>
      </rPr>
      <t>M6-12BWZ</t>
    </r>
  </si>
  <si>
    <t>2mm steel pipe</t>
  </si>
  <si>
    <t>Bracket central support : Use with AI-CORNER</t>
  </si>
  <si>
    <t>Pipe central support :           Use with AI-CORNER</t>
  </si>
  <si>
    <t>Screw for caster mount brackets (4 per caster)</t>
  </si>
  <si>
    <t>Lock nut for caster mount brackets (4 per caster)</t>
  </si>
  <si>
    <t>Caster mount upper bracket for 4" wheel (2 per caster)</t>
  </si>
  <si>
    <t>Caster mount lower bracket for 4" wheel (2 per caster)</t>
  </si>
  <si>
    <t>Extended caster mount     for 6" wheel (4 per caster)</t>
  </si>
  <si>
    <t>EW-3ESB</t>
  </si>
  <si>
    <t>Starter kit to mainly build      4-5 flowrack structures</t>
  </si>
  <si>
    <t>Portable band saw kit        18 volt (Milwaukee)</t>
  </si>
  <si>
    <t>Hand deburring tool          with 2 blades</t>
  </si>
  <si>
    <t>Pipe Cutter                        with 1 blade</t>
  </si>
  <si>
    <t>2x blades for pipe cutter</t>
  </si>
  <si>
    <t>5x blades for deburring tool</t>
  </si>
  <si>
    <t xml:space="preserve">5x drill bits 5mm for M6 : Use for impact gun 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</si>
  <si>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</si>
  <si>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</si>
  <si>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</si>
  <si>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</si>
  <si>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</si>
  <si>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</si>
  <si>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</si>
  <si>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</si>
  <si>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</si>
  <si>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including tools.  Ideal for training</t>
    </r>
  </si>
  <si>
    <t>Hard label holder:                1'' X 8''</t>
  </si>
  <si>
    <t>Hard label holder:               2'' X 4''</t>
  </si>
  <si>
    <t>3'' Swivel caster w/brake  150lbs cap. Roller bearing</t>
  </si>
  <si>
    <t>3" Rigid caster                     150lbs cap. Roller bearing</t>
  </si>
  <si>
    <t>4'' Swivel caster w/brake 250lbs cap. Roller bearing</t>
  </si>
  <si>
    <t>4'' Rigid caster               250lbs cap. Roller bearing</t>
  </si>
  <si>
    <t>4'' Swivel caster w/brake  350lbs cap. Roller bearing</t>
  </si>
  <si>
    <t xml:space="preserve">4'' Rigid caster                350lbs cap. Roller bearing </t>
  </si>
  <si>
    <r>
      <t xml:space="preserve">6'' Swivel caster w/brake    500lbs </t>
    </r>
    <r>
      <rPr>
        <sz val="11"/>
        <color indexed="9"/>
        <rFont val="Arial"/>
        <family val="2"/>
      </rPr>
      <t>cap. Roller bearing</t>
    </r>
  </si>
  <si>
    <t xml:space="preserve">6'' Rigid caster                  500lbs cap. Roller bearing </t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</si>
  <si>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</si>
  <si>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</si>
  <si>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</si>
  <si>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</si>
  <si>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</si>
  <si>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</si>
  <si>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</si>
  <si>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</si>
  <si>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</si>
  <si>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</si>
  <si>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</si>
  <si>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</si>
  <si>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</si>
  <si>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</si>
  <si>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</si>
  <si>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</si>
  <si>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</si>
  <si>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1mm steel pipe</t>
  </si>
  <si>
    <t>Steel joint nickel plated (ESD) set</t>
  </si>
  <si>
    <r>
      <t xml:space="preserve">1mm steel pipe </t>
    </r>
    <r>
      <rPr>
        <sz val="9"/>
        <rFont val="Arial"/>
        <family val="2"/>
      </rPr>
      <t>(ESD)</t>
    </r>
  </si>
  <si>
    <r>
      <t xml:space="preserve">0.7mm stainless </t>
    </r>
    <r>
      <rPr>
        <sz val="8"/>
        <rFont val="Arial"/>
        <family val="2"/>
      </rPr>
      <t>(ESD)</t>
    </r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</si>
  <si>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</si>
  <si>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</si>
  <si>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</si>
  <si>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</si>
  <si>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</si>
  <si>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</si>
  <si>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</si>
  <si>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</si>
  <si>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</si>
  <si>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r>
      <rPr>
        <b/>
        <sz val="9.5"/>
        <color rgb="FFFF6400"/>
        <rFont val="Arial"/>
        <family val="2"/>
      </rPr>
      <t xml:space="preserve">Box of 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</si>
  <si>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Box of 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</si>
  <si>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Box of 100x</t>
    </r>
    <r>
      <rPr>
        <sz val="9.5"/>
        <color indexed="9"/>
        <rFont val="Arial"/>
        <family val="2"/>
      </rPr>
      <t xml:space="preserve"> Square screws #8 X 1/2" to install accessories</t>
    </r>
  </si>
  <si>
    <t>Please write you account number if collect</t>
  </si>
  <si>
    <t>White HDPE plastic                     48'' X 96'' X 1/4''</t>
  </si>
  <si>
    <t>NICKEL PLATED ANTI-STATIC (ESD) JOINT SET</t>
  </si>
  <si>
    <t>CASTERS:</t>
  </si>
  <si>
    <r>
      <t xml:space="preserve">White aluminum clad  48'' X 96'' X 1/8'' </t>
    </r>
    <r>
      <rPr>
        <sz val="11"/>
        <color indexed="9"/>
        <rFont val="Arial"/>
        <family val="2"/>
      </rPr>
      <t>(3mm)</t>
    </r>
  </si>
  <si>
    <t>US PRICE LIST - JANUARY  TO JUNE 2017</t>
  </si>
  <si>
    <t>Brad Collinson</t>
  </si>
  <si>
    <t>Jonathan Despars</t>
  </si>
  <si>
    <t>jdespars@flexpipeinc.com</t>
  </si>
  <si>
    <t>bcollinson@flexpipeinc.com</t>
  </si>
  <si>
    <t>TRANSPORTER</t>
  </si>
  <si>
    <t>Prepaid and charge</t>
  </si>
  <si>
    <t>Collect</t>
  </si>
  <si>
    <t>DELMAR</t>
  </si>
  <si>
    <t>1975 Latham Street</t>
  </si>
  <si>
    <t>Memphis, TN, 38109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</si>
  <si>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Roller bearing</t>
    </r>
  </si>
  <si>
    <t>917-935-6955</t>
  </si>
  <si>
    <t>310-728-8141</t>
  </si>
  <si>
    <t>Flexpipe</t>
  </si>
  <si>
    <t xml:space="preserve">Flexpipe </t>
  </si>
  <si>
    <t>Tel: 855-406-0253</t>
  </si>
</sst>
</file>

<file path=xl/styles.xml><?xml version="1.0" encoding="utf-8"?>
<styleSheet xmlns="http://schemas.openxmlformats.org/spreadsheetml/2006/main">
  <numFmts count="5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</numFmts>
  <fonts count="129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b/>
      <sz val="11"/>
      <color indexed="53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9B00"/>
      <name val="Arial"/>
      <family val="2"/>
    </font>
    <font>
      <sz val="11"/>
      <color rgb="FFFF9B00"/>
      <name val="Arial"/>
      <family val="2"/>
    </font>
    <font>
      <b/>
      <sz val="11"/>
      <color rgb="FFFF9B00"/>
      <name val="Maison Neue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theme="8" tint="0.79998168889431442"/>
        <bgColor indexed="64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4" fillId="0" borderId="0"/>
    <xf numFmtId="0" fontId="6" fillId="0" borderId="0"/>
  </cellStyleXfs>
  <cellXfs count="1208">
    <xf numFmtId="0" fontId="0" fillId="0" borderId="0" xfId="0"/>
    <xf numFmtId="0" fontId="2" fillId="2" borderId="0" xfId="7" applyFont="1" applyFill="1" applyProtection="1">
      <protection locked="0"/>
    </xf>
    <xf numFmtId="0" fontId="6" fillId="0" borderId="0" xfId="5" applyFont="1"/>
    <xf numFmtId="0" fontId="3" fillId="2" borderId="0" xfId="7" applyFont="1" applyFill="1" applyProtection="1">
      <protection locked="0"/>
    </xf>
    <xf numFmtId="0" fontId="7" fillId="2" borderId="0" xfId="7" applyFont="1" applyFill="1" applyProtection="1">
      <protection locked="0"/>
    </xf>
    <xf numFmtId="0" fontId="2" fillId="0" borderId="0" xfId="5" applyFont="1"/>
    <xf numFmtId="0" fontId="13" fillId="0" borderId="0" xfId="4" applyFont="1" applyAlignment="1" applyProtection="1"/>
    <xf numFmtId="0" fontId="13" fillId="2" borderId="0" xfId="4" applyFont="1" applyFill="1" applyAlignment="1" applyProtection="1">
      <protection locked="0"/>
    </xf>
    <xf numFmtId="0" fontId="6" fillId="2" borderId="0" xfId="7" applyFont="1" applyFill="1" applyProtection="1">
      <protection locked="0"/>
    </xf>
    <xf numFmtId="0" fontId="4" fillId="2" borderId="0" xfId="4" applyFont="1" applyFill="1" applyAlignment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Alignment="1"/>
    <xf numFmtId="0" fontId="2" fillId="0" borderId="13" xfId="5" applyFont="1" applyBorder="1"/>
    <xf numFmtId="0" fontId="3" fillId="0" borderId="0" xfId="5" applyFont="1"/>
    <xf numFmtId="0" fontId="2" fillId="6" borderId="0" xfId="5" applyFont="1" applyFill="1"/>
    <xf numFmtId="0" fontId="2" fillId="0" borderId="0" xfId="5" applyFont="1" applyBorder="1"/>
    <xf numFmtId="0" fontId="2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7" applyNumberFormat="1" applyFont="1" applyFill="1" applyBorder="1" applyAlignment="1" applyProtection="1">
      <alignment horizontal="center" vertical="center"/>
      <protection locked="0"/>
    </xf>
    <xf numFmtId="0" fontId="2" fillId="0" borderId="0" xfId="5" applyFont="1" applyFill="1"/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5" applyFont="1" applyFill="1" applyBorder="1"/>
    <xf numFmtId="1" fontId="2" fillId="2" borderId="0" xfId="7" applyNumberFormat="1" applyFont="1" applyFill="1" applyBorder="1" applyAlignment="1" applyProtection="1">
      <alignment horizontal="center" vertical="center"/>
      <protection locked="0"/>
    </xf>
    <xf numFmtId="0" fontId="25" fillId="0" borderId="0" xfId="5" applyFont="1"/>
    <xf numFmtId="0" fontId="2" fillId="0" borderId="0" xfId="5" applyFont="1" applyAlignment="1"/>
    <xf numFmtId="49" fontId="2" fillId="2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26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2" borderId="0" xfId="7" applyFont="1" applyFill="1" applyAlignment="1" applyProtection="1">
      <alignment vertical="center" wrapText="1"/>
      <protection locked="0"/>
    </xf>
    <xf numFmtId="0" fontId="2" fillId="0" borderId="14" xfId="5" applyFont="1" applyBorder="1"/>
    <xf numFmtId="0" fontId="2" fillId="0" borderId="15" xfId="5" applyFont="1" applyBorder="1"/>
    <xf numFmtId="0" fontId="15" fillId="0" borderId="8" xfId="5" applyFont="1" applyBorder="1"/>
    <xf numFmtId="0" fontId="2" fillId="0" borderId="12" xfId="5" applyFont="1" applyBorder="1"/>
    <xf numFmtId="0" fontId="15" fillId="0" borderId="9" xfId="5" applyFont="1" applyBorder="1"/>
    <xf numFmtId="0" fontId="2" fillId="0" borderId="10" xfId="5" applyFont="1" applyBorder="1"/>
    <xf numFmtId="0" fontId="2" fillId="0" borderId="10" xfId="5" applyFont="1" applyBorder="1" applyAlignment="1">
      <alignment horizontal="right"/>
    </xf>
    <xf numFmtId="1" fontId="2" fillId="0" borderId="10" xfId="5" applyNumberFormat="1" applyFont="1" applyBorder="1"/>
    <xf numFmtId="0" fontId="2" fillId="0" borderId="11" xfId="5" applyFont="1" applyBorder="1"/>
    <xf numFmtId="0" fontId="16" fillId="0" borderId="14" xfId="5" applyFont="1" applyBorder="1"/>
    <xf numFmtId="0" fontId="16" fillId="0" borderId="15" xfId="5" applyFont="1" applyBorder="1"/>
    <xf numFmtId="0" fontId="16" fillId="0" borderId="13" xfId="5" applyFont="1" applyBorder="1"/>
    <xf numFmtId="0" fontId="14" fillId="0" borderId="16" xfId="5" applyFont="1" applyBorder="1"/>
    <xf numFmtId="0" fontId="14" fillId="0" borderId="17" xfId="5" applyFont="1" applyBorder="1"/>
    <xf numFmtId="0" fontId="2" fillId="0" borderId="17" xfId="5" applyFont="1" applyBorder="1"/>
    <xf numFmtId="0" fontId="16" fillId="0" borderId="8" xfId="5" applyFont="1" applyBorder="1"/>
    <xf numFmtId="0" fontId="16" fillId="0" borderId="0" xfId="5" applyFont="1" applyBorder="1"/>
    <xf numFmtId="0" fontId="16" fillId="0" borderId="12" xfId="5" applyFont="1" applyBorder="1"/>
    <xf numFmtId="0" fontId="16" fillId="0" borderId="9" xfId="5" applyFont="1" applyBorder="1"/>
    <xf numFmtId="0" fontId="16" fillId="0" borderId="10" xfId="5" applyFont="1" applyBorder="1"/>
    <xf numFmtId="0" fontId="17" fillId="0" borderId="10" xfId="5" applyFont="1" applyBorder="1"/>
    <xf numFmtId="0" fontId="16" fillId="0" borderId="11" xfId="5" applyFont="1" applyBorder="1"/>
    <xf numFmtId="0" fontId="15" fillId="0" borderId="0" xfId="5" applyFont="1"/>
    <xf numFmtId="0" fontId="2" fillId="0" borderId="0" xfId="7" applyFont="1" applyFill="1" applyProtection="1">
      <protection locked="0"/>
    </xf>
    <xf numFmtId="0" fontId="3" fillId="6" borderId="0" xfId="5" applyFont="1" applyFill="1"/>
    <xf numFmtId="0" fontId="2" fillId="6" borderId="0" xfId="5" applyFont="1" applyFill="1" applyBorder="1"/>
    <xf numFmtId="10" fontId="2" fillId="0" borderId="0" xfId="5" applyNumberFormat="1" applyFont="1"/>
    <xf numFmtId="10" fontId="2" fillId="2" borderId="0" xfId="5" applyNumberFormat="1" applyFont="1" applyFill="1" applyProtection="1"/>
    <xf numFmtId="0" fontId="2" fillId="0" borderId="0" xfId="7" applyFont="1" applyFill="1" applyBorder="1" applyAlignment="1" applyProtection="1">
      <protection locked="0"/>
    </xf>
    <xf numFmtId="0" fontId="3" fillId="0" borderId="0" xfId="7" applyFont="1" applyFill="1" applyBorder="1" applyAlignment="1" applyProtection="1">
      <alignment horizontal="center" vertical="center"/>
      <protection locked="0" hidden="1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7" fillId="2" borderId="10" xfId="7" applyFont="1" applyFill="1" applyBorder="1" applyProtection="1">
      <protection locked="0"/>
    </xf>
    <xf numFmtId="0" fontId="7" fillId="2" borderId="9" xfId="7" applyFont="1" applyFill="1" applyBorder="1" applyProtection="1">
      <protection locked="0"/>
    </xf>
    <xf numFmtId="0" fontId="7" fillId="0" borderId="0" xfId="5" applyFont="1"/>
    <xf numFmtId="0" fontId="7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7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7" fillId="6" borderId="0" xfId="7" applyNumberFormat="1" applyFont="1" applyFill="1" applyBorder="1" applyAlignment="1" applyProtection="1">
      <alignment horizontal="center" vertical="center"/>
      <protection locked="0"/>
    </xf>
    <xf numFmtId="0" fontId="18" fillId="2" borderId="14" xfId="7" applyFont="1" applyFill="1" applyBorder="1" applyAlignment="1" applyProtection="1">
      <protection locked="0"/>
    </xf>
    <xf numFmtId="0" fontId="6" fillId="2" borderId="15" xfId="7" applyFont="1" applyFill="1" applyBorder="1" applyProtection="1">
      <protection locked="0"/>
    </xf>
    <xf numFmtId="0" fontId="6" fillId="0" borderId="13" xfId="5" applyFont="1" applyBorder="1"/>
    <xf numFmtId="0" fontId="18" fillId="6" borderId="14" xfId="5" applyFont="1" applyFill="1" applyBorder="1"/>
    <xf numFmtId="0" fontId="6" fillId="2" borderId="13" xfId="7" applyFont="1" applyFill="1" applyBorder="1" applyProtection="1">
      <protection locked="0"/>
    </xf>
    <xf numFmtId="0" fontId="6" fillId="2" borderId="14" xfId="7" applyFont="1" applyFill="1" applyBorder="1" applyProtection="1">
      <protection locked="0"/>
    </xf>
    <xf numFmtId="0" fontId="6" fillId="2" borderId="15" xfId="7" applyFont="1" applyFill="1" applyBorder="1" applyAlignment="1" applyProtection="1">
      <alignment horizontal="right"/>
      <protection locked="0"/>
    </xf>
    <xf numFmtId="0" fontId="6" fillId="0" borderId="8" xfId="7" applyFont="1" applyFill="1" applyBorder="1" applyAlignment="1" applyProtection="1">
      <alignment horizontal="left"/>
      <protection locked="0"/>
    </xf>
    <xf numFmtId="0" fontId="6" fillId="0" borderId="0" xfId="7" applyFont="1" applyFill="1" applyBorder="1" applyAlignment="1" applyProtection="1">
      <alignment horizontal="left"/>
      <protection locked="0"/>
    </xf>
    <xf numFmtId="0" fontId="6" fillId="6" borderId="12" xfId="5" applyFont="1" applyFill="1" applyBorder="1"/>
    <xf numFmtId="0" fontId="6" fillId="2" borderId="8" xfId="7" applyFont="1" applyFill="1" applyBorder="1" applyProtection="1">
      <protection locked="0"/>
    </xf>
    <xf numFmtId="0" fontId="6" fillId="2" borderId="12" xfId="7" applyFont="1" applyFill="1" applyBorder="1" applyProtection="1">
      <protection locked="0"/>
    </xf>
    <xf numFmtId="0" fontId="6" fillId="2" borderId="0" xfId="7" applyFont="1" applyFill="1" applyBorder="1" applyAlignment="1" applyProtection="1">
      <alignment horizontal="left" indent="3"/>
      <protection locked="0"/>
    </xf>
    <xf numFmtId="14" fontId="6" fillId="2" borderId="12" xfId="7" applyNumberFormat="1" applyFont="1" applyFill="1" applyBorder="1" applyAlignment="1" applyProtection="1">
      <alignment horizontal="left"/>
      <protection locked="0"/>
    </xf>
    <xf numFmtId="0" fontId="6" fillId="2" borderId="8" xfId="7" applyFont="1" applyFill="1" applyBorder="1" applyAlignment="1" applyProtection="1">
      <alignment horizontal="left"/>
      <protection locked="0"/>
    </xf>
    <xf numFmtId="0" fontId="6" fillId="2" borderId="0" xfId="7" applyFont="1" applyFill="1" applyBorder="1" applyProtection="1">
      <protection locked="0"/>
    </xf>
    <xf numFmtId="0" fontId="6" fillId="2" borderId="9" xfId="7" applyFont="1" applyFill="1" applyBorder="1" applyAlignment="1" applyProtection="1">
      <alignment horizontal="left"/>
      <protection locked="0"/>
    </xf>
    <xf numFmtId="0" fontId="6" fillId="2" borderId="10" xfId="7" applyFont="1" applyFill="1" applyBorder="1" applyProtection="1">
      <protection locked="0"/>
    </xf>
    <xf numFmtId="0" fontId="6" fillId="6" borderId="11" xfId="5" applyFont="1" applyFill="1" applyBorder="1"/>
    <xf numFmtId="0" fontId="6" fillId="2" borderId="9" xfId="7" applyFont="1" applyFill="1" applyBorder="1" applyProtection="1">
      <protection locked="0"/>
    </xf>
    <xf numFmtId="0" fontId="6" fillId="2" borderId="11" xfId="7" applyFont="1" applyFill="1" applyBorder="1" applyProtection="1">
      <protection locked="0"/>
    </xf>
    <xf numFmtId="0" fontId="6" fillId="2" borderId="0" xfId="7" applyFont="1" applyFill="1"/>
    <xf numFmtId="0" fontId="6" fillId="6" borderId="0" xfId="5" applyFont="1" applyFill="1"/>
    <xf numFmtId="0" fontId="6" fillId="2" borderId="0" xfId="7" applyFont="1" applyFill="1" applyAlignment="1" applyProtection="1">
      <alignment horizontal="right"/>
      <protection locked="0"/>
    </xf>
    <xf numFmtId="0" fontId="6" fillId="6" borderId="0" xfId="7" applyFont="1" applyFill="1" applyProtection="1">
      <protection locked="0"/>
    </xf>
    <xf numFmtId="0" fontId="18" fillId="2" borderId="14" xfId="7" applyFont="1" applyFill="1" applyBorder="1" applyProtection="1">
      <protection locked="0"/>
    </xf>
    <xf numFmtId="0" fontId="6" fillId="0" borderId="0" xfId="5" applyFont="1" applyBorder="1"/>
    <xf numFmtId="0" fontId="6" fillId="2" borderId="9" xfId="7" applyFont="1" applyFill="1" applyBorder="1" applyAlignment="1" applyProtection="1">
      <alignment horizontal="right"/>
      <protection locked="0"/>
    </xf>
    <xf numFmtId="0" fontId="6" fillId="2" borderId="8" xfId="7" applyNumberFormat="1" applyFont="1" applyFill="1" applyBorder="1" applyAlignment="1" applyProtection="1">
      <alignment horizontal="left"/>
      <protection locked="0"/>
    </xf>
    <xf numFmtId="0" fontId="18" fillId="2" borderId="8" xfId="7" applyFont="1" applyFill="1" applyBorder="1" applyAlignment="1" applyProtection="1">
      <alignment horizontal="left"/>
      <protection locked="0"/>
    </xf>
    <xf numFmtId="0" fontId="18" fillId="2" borderId="12" xfId="7" applyFont="1" applyFill="1" applyBorder="1" applyProtection="1">
      <protection locked="0"/>
    </xf>
    <xf numFmtId="0" fontId="6" fillId="2" borderId="8" xfId="7" applyFont="1" applyFill="1" applyBorder="1" applyAlignment="1" applyProtection="1">
      <alignment horizontal="right"/>
      <protection locked="0"/>
    </xf>
    <xf numFmtId="0" fontId="18" fillId="2" borderId="12" xfId="4" applyFont="1" applyFill="1" applyBorder="1" applyAlignment="1" applyProtection="1">
      <protection locked="0"/>
    </xf>
    <xf numFmtId="0" fontId="4" fillId="2" borderId="10" xfId="4" applyFont="1" applyFill="1" applyBorder="1" applyAlignment="1" applyProtection="1">
      <protection locked="0"/>
    </xf>
    <xf numFmtId="0" fontId="18" fillId="2" borderId="11" xfId="4" applyFont="1" applyFill="1" applyBorder="1" applyAlignment="1" applyProtection="1">
      <protection locked="0"/>
    </xf>
    <xf numFmtId="0" fontId="18" fillId="2" borderId="0" xfId="4" applyFont="1" applyFill="1" applyAlignment="1" applyProtection="1">
      <protection locked="0"/>
    </xf>
    <xf numFmtId="0" fontId="6" fillId="2" borderId="21" xfId="7" applyFont="1" applyFill="1" applyBorder="1" applyAlignment="1" applyProtection="1">
      <alignment horizontal="center"/>
      <protection locked="0"/>
    </xf>
    <xf numFmtId="0" fontId="6" fillId="2" borderId="22" xfId="7" applyFont="1" applyFill="1" applyBorder="1" applyAlignment="1" applyProtection="1">
      <alignment horizontal="center"/>
      <protection locked="0"/>
    </xf>
    <xf numFmtId="0" fontId="6" fillId="2" borderId="14" xfId="7" applyFont="1" applyFill="1" applyBorder="1" applyAlignment="1" applyProtection="1">
      <alignment horizontal="right"/>
      <protection locked="0"/>
    </xf>
    <xf numFmtId="0" fontId="6" fillId="2" borderId="12" xfId="4" applyFont="1" applyFill="1" applyBorder="1" applyAlignment="1" applyProtection="1">
      <protection locked="0"/>
    </xf>
    <xf numFmtId="0" fontId="6" fillId="6" borderId="12" xfId="7" applyFont="1" applyFill="1" applyBorder="1" applyAlignment="1" applyProtection="1">
      <alignment vertical="center" wrapText="1"/>
      <protection locked="0"/>
    </xf>
    <xf numFmtId="0" fontId="6" fillId="6" borderId="0" xfId="7" applyFont="1" applyFill="1" applyBorder="1" applyAlignment="1" applyProtection="1">
      <alignment vertical="center" wrapText="1"/>
      <protection locked="0"/>
    </xf>
    <xf numFmtId="0" fontId="6" fillId="6" borderId="9" xfId="7" applyFont="1" applyFill="1" applyBorder="1" applyAlignment="1" applyProtection="1">
      <alignment horizontal="right" vertical="center" wrapText="1"/>
      <protection locked="0"/>
    </xf>
    <xf numFmtId="0" fontId="18" fillId="2" borderId="14" xfId="7" applyFont="1" applyFill="1" applyBorder="1" applyAlignment="1" applyProtection="1">
      <alignment horizontal="left"/>
      <protection locked="0"/>
    </xf>
    <xf numFmtId="0" fontId="7" fillId="2" borderId="0" xfId="7" applyNumberFormat="1" applyFont="1" applyFill="1" applyBorder="1" applyAlignment="1" applyProtection="1">
      <alignment horizontal="right" vertical="center"/>
      <protection locked="0"/>
    </xf>
    <xf numFmtId="166" fontId="6" fillId="7" borderId="7" xfId="7" applyNumberFormat="1" applyFont="1" applyFill="1" applyBorder="1" applyAlignment="1" applyProtection="1">
      <alignment horizontal="right" vertical="center"/>
    </xf>
    <xf numFmtId="166" fontId="6" fillId="2" borderId="7" xfId="7" applyNumberFormat="1" applyFont="1" applyFill="1" applyBorder="1" applyAlignment="1" applyProtection="1">
      <alignment horizontal="right" vertical="center"/>
    </xf>
    <xf numFmtId="0" fontId="8" fillId="2" borderId="0" xfId="7" applyNumberFormat="1" applyFont="1" applyFill="1" applyAlignment="1" applyProtection="1">
      <alignment horizontal="right" vertical="center"/>
      <protection locked="0"/>
    </xf>
    <xf numFmtId="0" fontId="6" fillId="0" borderId="15" xfId="5" applyFont="1" applyBorder="1"/>
    <xf numFmtId="0" fontId="6" fillId="2" borderId="0" xfId="7" applyFont="1" applyFill="1" applyBorder="1" applyAlignment="1" applyProtection="1">
      <alignment horizontal="center"/>
      <protection locked="0"/>
    </xf>
    <xf numFmtId="0" fontId="6" fillId="2" borderId="0" xfId="7" applyNumberFormat="1" applyFont="1" applyFill="1" applyBorder="1" applyAlignment="1" applyProtection="1">
      <alignment horizontal="center"/>
      <protection locked="0"/>
    </xf>
    <xf numFmtId="0" fontId="18" fillId="6" borderId="15" xfId="5" applyFont="1" applyFill="1" applyBorder="1"/>
    <xf numFmtId="0" fontId="18" fillId="6" borderId="13" xfId="5" applyFont="1" applyFill="1" applyBorder="1"/>
    <xf numFmtId="0" fontId="6" fillId="6" borderId="12" xfId="5" applyFont="1" applyFill="1" applyBorder="1" applyAlignment="1">
      <alignment horizontal="left"/>
    </xf>
    <xf numFmtId="0" fontId="6" fillId="0" borderId="12" xfId="5" applyFont="1" applyFill="1" applyBorder="1"/>
    <xf numFmtId="0" fontId="6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6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6" fillId="0" borderId="6" xfId="0" applyFont="1" applyBorder="1"/>
    <xf numFmtId="0" fontId="6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6" fillId="0" borderId="0" xfId="0" applyFont="1" applyBorder="1"/>
    <xf numFmtId="0" fontId="6" fillId="0" borderId="2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0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6" fillId="0" borderId="6" xfId="0" applyFont="1" applyBorder="1" applyAlignment="1">
      <alignment horizontal="left" indent="1"/>
    </xf>
    <xf numFmtId="0" fontId="6" fillId="0" borderId="19" xfId="0" applyFont="1" applyBorder="1"/>
    <xf numFmtId="0" fontId="0" fillId="0" borderId="23" xfId="0" applyBorder="1" applyAlignment="1">
      <alignment horizontal="center" vertical="center"/>
    </xf>
    <xf numFmtId="0" fontId="6" fillId="0" borderId="18" xfId="0" applyFont="1" applyBorder="1"/>
    <xf numFmtId="0" fontId="0" fillId="8" borderId="0" xfId="0" applyFill="1"/>
    <xf numFmtId="0" fontId="6" fillId="8" borderId="0" xfId="0" applyFont="1" applyFill="1"/>
    <xf numFmtId="0" fontId="0" fillId="0" borderId="0" xfId="0" applyFill="1"/>
    <xf numFmtId="16" fontId="6" fillId="0" borderId="0" xfId="0" quotePrefix="1" applyNumberFormat="1" applyFont="1" applyFill="1" applyAlignment="1">
      <alignment horizontal="right"/>
    </xf>
    <xf numFmtId="0" fontId="6" fillId="0" borderId="0" xfId="0" quotePrefix="1" applyFont="1" applyAlignment="1">
      <alignment horizontal="right"/>
    </xf>
    <xf numFmtId="0" fontId="22" fillId="0" borderId="0" xfId="0" applyFont="1"/>
    <xf numFmtId="0" fontId="6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3" fillId="0" borderId="18" xfId="0" applyFont="1" applyFill="1" applyBorder="1" applyAlignment="1">
      <alignment horizontal="left" indent="1"/>
    </xf>
    <xf numFmtId="0" fontId="6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7" fillId="2" borderId="7" xfId="7" applyFont="1" applyFill="1" applyBorder="1" applyProtection="1">
      <protection locked="0"/>
    </xf>
    <xf numFmtId="0" fontId="8" fillId="0" borderId="7" xfId="7" applyFont="1" applyFill="1" applyBorder="1" applyAlignment="1" applyProtection="1">
      <alignment horizontal="center" vertical="center"/>
      <protection locked="0"/>
    </xf>
    <xf numFmtId="0" fontId="8" fillId="0" borderId="7" xfId="7" applyFont="1" applyFill="1" applyBorder="1" applyAlignment="1" applyProtection="1">
      <alignment horizontal="left" vertical="center"/>
      <protection locked="0"/>
    </xf>
    <xf numFmtId="166" fontId="7" fillId="10" borderId="7" xfId="7" applyNumberFormat="1" applyFont="1" applyFill="1" applyBorder="1" applyAlignment="1" applyProtection="1">
      <alignment horizontal="right" vertical="center"/>
      <protection locked="0"/>
    </xf>
    <xf numFmtId="1" fontId="7" fillId="2" borderId="7" xfId="7" applyNumberFormat="1" applyFont="1" applyFill="1" applyBorder="1" applyAlignment="1" applyProtection="1">
      <alignment horizontal="center" vertical="center"/>
      <protection locked="0"/>
    </xf>
    <xf numFmtId="166" fontId="7" fillId="2" borderId="7" xfId="3" applyNumberFormat="1" applyFont="1" applyFill="1" applyBorder="1" applyAlignment="1" applyProtection="1">
      <alignment horizontal="right" vertical="center"/>
      <protection locked="0"/>
    </xf>
    <xf numFmtId="0" fontId="3" fillId="10" borderId="7" xfId="7" applyFont="1" applyFill="1" applyBorder="1" applyAlignment="1" applyProtection="1">
      <alignment horizontal="center" vertical="center"/>
      <protection locked="0"/>
    </xf>
    <xf numFmtId="0" fontId="3" fillId="10" borderId="2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Protection="1">
      <protection locked="0"/>
    </xf>
    <xf numFmtId="1" fontId="6" fillId="2" borderId="13" xfId="7" quotePrefix="1" applyNumberFormat="1" applyFont="1" applyFill="1" applyBorder="1" applyAlignment="1" applyProtection="1">
      <alignment horizontal="left"/>
      <protection locked="0"/>
    </xf>
    <xf numFmtId="0" fontId="30" fillId="0" borderId="0" xfId="0" applyFont="1" applyProtection="1"/>
    <xf numFmtId="0" fontId="31" fillId="0" borderId="0" xfId="0" applyFont="1" applyBorder="1" applyProtection="1"/>
    <xf numFmtId="0" fontId="31" fillId="0" borderId="0" xfId="0" applyFont="1" applyProtection="1"/>
    <xf numFmtId="0" fontId="33" fillId="0" borderId="0" xfId="0" applyFont="1" applyFill="1" applyProtection="1"/>
    <xf numFmtId="0" fontId="51" fillId="0" borderId="0" xfId="0" applyFont="1" applyFill="1" applyBorder="1" applyAlignment="1" applyProtection="1"/>
    <xf numFmtId="0" fontId="31" fillId="0" borderId="0" xfId="0" applyFont="1" applyFill="1" applyProtection="1"/>
    <xf numFmtId="0" fontId="42" fillId="0" borderId="0" xfId="0" applyFont="1" applyProtection="1"/>
    <xf numFmtId="0" fontId="42" fillId="0" borderId="0" xfId="0" applyFont="1" applyFill="1" applyProtection="1"/>
    <xf numFmtId="0" fontId="37" fillId="0" borderId="0" xfId="0" applyFont="1" applyProtection="1"/>
    <xf numFmtId="0" fontId="37" fillId="0" borderId="0" xfId="0" applyFont="1" applyFill="1" applyProtection="1"/>
    <xf numFmtId="0" fontId="55" fillId="0" borderId="0" xfId="0" applyFont="1" applyAlignment="1" applyProtection="1">
      <alignment horizontal="center" vertical="center"/>
    </xf>
    <xf numFmtId="0" fontId="56" fillId="0" borderId="0" xfId="0" applyFont="1" applyProtection="1"/>
    <xf numFmtId="0" fontId="38" fillId="0" borderId="0" xfId="0" applyFont="1" applyProtection="1"/>
    <xf numFmtId="0" fontId="54" fillId="0" borderId="0" xfId="0" applyFont="1" applyProtection="1"/>
    <xf numFmtId="0" fontId="55" fillId="0" borderId="0" xfId="0" applyFont="1" applyProtection="1"/>
    <xf numFmtId="0" fontId="48" fillId="0" borderId="0" xfId="0" applyFont="1" applyFill="1" applyProtection="1"/>
    <xf numFmtId="0" fontId="48" fillId="0" borderId="0" xfId="0" applyFont="1" applyFill="1" applyAlignment="1" applyProtection="1">
      <alignment vertical="center"/>
    </xf>
    <xf numFmtId="0" fontId="59" fillId="0" borderId="0" xfId="0" applyFont="1" applyProtection="1"/>
    <xf numFmtId="0" fontId="45" fillId="0" borderId="0" xfId="0" applyFont="1" applyFill="1" applyProtection="1"/>
    <xf numFmtId="0" fontId="31" fillId="0" borderId="0" xfId="0" applyFont="1" applyBorder="1" applyProtection="1"/>
    <xf numFmtId="0" fontId="31" fillId="0" borderId="0" xfId="0" applyFont="1"/>
    <xf numFmtId="0" fontId="63" fillId="11" borderId="7" xfId="0" applyFont="1" applyFill="1" applyBorder="1"/>
    <xf numFmtId="166" fontId="63" fillId="11" borderId="7" xfId="0" applyNumberFormat="1" applyFont="1" applyFill="1" applyBorder="1"/>
    <xf numFmtId="2" fontId="63" fillId="11" borderId="7" xfId="0" applyNumberFormat="1" applyFont="1" applyFill="1" applyBorder="1"/>
    <xf numFmtId="0" fontId="63" fillId="12" borderId="0" xfId="0" applyFont="1" applyFill="1"/>
    <xf numFmtId="0" fontId="38" fillId="0" borderId="0" xfId="0" applyFont="1"/>
    <xf numFmtId="166" fontId="31" fillId="0" borderId="0" xfId="0" applyNumberFormat="1" applyFont="1"/>
    <xf numFmtId="167" fontId="31" fillId="0" borderId="0" xfId="0" applyNumberFormat="1" applyFont="1"/>
    <xf numFmtId="2" fontId="31" fillId="0" borderId="0" xfId="0" applyNumberFormat="1" applyFont="1"/>
    <xf numFmtId="0" fontId="64" fillId="0" borderId="7" xfId="0" applyFont="1" applyFill="1" applyBorder="1"/>
    <xf numFmtId="0" fontId="52" fillId="9" borderId="7" xfId="0" applyFont="1" applyFill="1" applyBorder="1"/>
    <xf numFmtId="0" fontId="43" fillId="6" borderId="7" xfId="0" applyFont="1" applyFill="1" applyBorder="1" applyAlignment="1">
      <alignment horizontal="center"/>
    </xf>
    <xf numFmtId="0" fontId="31" fillId="6" borderId="7" xfId="0" applyFont="1" applyFill="1" applyBorder="1"/>
    <xf numFmtId="1" fontId="43" fillId="6" borderId="7" xfId="0" applyNumberFormat="1" applyFont="1" applyFill="1" applyBorder="1"/>
    <xf numFmtId="0" fontId="43" fillId="6" borderId="7" xfId="0" applyFont="1" applyFill="1" applyBorder="1"/>
    <xf numFmtId="166" fontId="52" fillId="6" borderId="7" xfId="0" applyNumberFormat="1" applyFont="1" applyFill="1" applyBorder="1"/>
    <xf numFmtId="167" fontId="52" fillId="6" borderId="7" xfId="0" applyNumberFormat="1" applyFont="1" applyFill="1" applyBorder="1"/>
    <xf numFmtId="0" fontId="52" fillId="6" borderId="7" xfId="0" applyFont="1" applyFill="1" applyBorder="1"/>
    <xf numFmtId="2" fontId="31" fillId="6" borderId="7" xfId="0" applyNumberFormat="1" applyFont="1" applyFill="1" applyBorder="1"/>
    <xf numFmtId="0" fontId="31" fillId="6" borderId="0" xfId="0" applyFont="1" applyFill="1"/>
    <xf numFmtId="166" fontId="41" fillId="6" borderId="7" xfId="0" applyNumberFormat="1" applyFont="1" applyFill="1" applyBorder="1"/>
    <xf numFmtId="166" fontId="52" fillId="0" borderId="7" xfId="0" applyNumberFormat="1" applyFont="1" applyFill="1" applyBorder="1"/>
    <xf numFmtId="167" fontId="52" fillId="0" borderId="7" xfId="0" applyNumberFormat="1" applyFont="1" applyFill="1" applyBorder="1"/>
    <xf numFmtId="0" fontId="52" fillId="0" borderId="7" xfId="0" applyFont="1" applyFill="1" applyBorder="1"/>
    <xf numFmtId="166" fontId="41" fillId="0" borderId="7" xfId="0" applyNumberFormat="1" applyFont="1" applyFill="1" applyBorder="1"/>
    <xf numFmtId="0" fontId="43" fillId="8" borderId="7" xfId="0" applyFont="1" applyFill="1" applyBorder="1" applyAlignment="1">
      <alignment horizontal="center"/>
    </xf>
    <xf numFmtId="0" fontId="31" fillId="8" borderId="7" xfId="0" applyFont="1" applyFill="1" applyBorder="1"/>
    <xf numFmtId="0" fontId="43" fillId="0" borderId="7" xfId="0" applyFont="1" applyBorder="1"/>
    <xf numFmtId="166" fontId="52" fillId="0" borderId="7" xfId="0" applyNumberFormat="1" applyFont="1" applyBorder="1"/>
    <xf numFmtId="0" fontId="52" fillId="0" borderId="7" xfId="0" applyFont="1" applyBorder="1"/>
    <xf numFmtId="2" fontId="31" fillId="0" borderId="7" xfId="0" applyNumberFormat="1" applyFont="1" applyBorder="1"/>
    <xf numFmtId="0" fontId="31" fillId="0" borderId="7" xfId="0" applyFont="1" applyBorder="1"/>
    <xf numFmtId="166" fontId="43" fillId="0" borderId="7" xfId="0" applyNumberFormat="1" applyFont="1" applyBorder="1"/>
    <xf numFmtId="167" fontId="43" fillId="0" borderId="7" xfId="0" applyNumberFormat="1" applyFont="1" applyBorder="1"/>
    <xf numFmtId="2" fontId="41" fillId="0" borderId="7" xfId="0" applyNumberFormat="1" applyFont="1" applyBorder="1"/>
    <xf numFmtId="166" fontId="41" fillId="0" borderId="7" xfId="0" applyNumberFormat="1" applyFont="1" applyBorder="1"/>
    <xf numFmtId="0" fontId="41" fillId="0" borderId="0" xfId="0" applyFont="1"/>
    <xf numFmtId="166" fontId="31" fillId="0" borderId="7" xfId="0" applyNumberFormat="1" applyFont="1" applyBorder="1"/>
    <xf numFmtId="167" fontId="31" fillId="0" borderId="7" xfId="0" applyNumberFormat="1" applyFont="1" applyBorder="1"/>
    <xf numFmtId="0" fontId="39" fillId="5" borderId="7" xfId="0" applyFont="1" applyFill="1" applyBorder="1"/>
    <xf numFmtId="166" fontId="39" fillId="5" borderId="7" xfId="0" applyNumberFormat="1" applyFont="1" applyFill="1" applyBorder="1"/>
    <xf numFmtId="167" fontId="39" fillId="5" borderId="7" xfId="0" applyNumberFormat="1" applyFont="1" applyFill="1" applyBorder="1"/>
    <xf numFmtId="2" fontId="39" fillId="5" borderId="7" xfId="0" applyNumberFormat="1" applyFont="1" applyFill="1" applyBorder="1"/>
    <xf numFmtId="0" fontId="39" fillId="0" borderId="0" xfId="0" applyFont="1"/>
    <xf numFmtId="1" fontId="31" fillId="0" borderId="7" xfId="0" applyNumberFormat="1" applyFont="1" applyBorder="1"/>
    <xf numFmtId="3" fontId="31" fillId="0" borderId="7" xfId="0" applyNumberFormat="1" applyFont="1" applyFill="1" applyBorder="1"/>
    <xf numFmtId="167" fontId="31" fillId="0" borderId="0" xfId="0" applyNumberFormat="1" applyFont="1" applyFill="1" applyBorder="1" applyAlignment="1"/>
    <xf numFmtId="167" fontId="31" fillId="0" borderId="0" xfId="0" applyNumberFormat="1" applyFont="1" applyAlignment="1"/>
    <xf numFmtId="0" fontId="31" fillId="13" borderId="7" xfId="0" applyFont="1" applyFill="1" applyBorder="1" applyAlignment="1">
      <alignment horizontal="center"/>
    </xf>
    <xf numFmtId="0" fontId="38" fillId="13" borderId="7" xfId="0" applyFont="1" applyFill="1" applyBorder="1"/>
    <xf numFmtId="1" fontId="31" fillId="13" borderId="7" xfId="0" applyNumberFormat="1" applyFont="1" applyFill="1" applyBorder="1" applyAlignment="1"/>
    <xf numFmtId="3" fontId="31" fillId="13" borderId="7" xfId="0" applyNumberFormat="1" applyFont="1" applyFill="1" applyBorder="1"/>
    <xf numFmtId="167" fontId="31" fillId="0" borderId="0" xfId="0" applyNumberFormat="1" applyFont="1" applyFill="1" applyBorder="1"/>
    <xf numFmtId="0" fontId="38" fillId="14" borderId="7" xfId="0" applyFont="1" applyFill="1" applyBorder="1"/>
    <xf numFmtId="1" fontId="31" fillId="14" borderId="7" xfId="0" applyNumberFormat="1" applyFont="1" applyFill="1" applyBorder="1" applyAlignment="1"/>
    <xf numFmtId="3" fontId="31" fillId="14" borderId="7" xfId="0" applyNumberFormat="1" applyFont="1" applyFill="1" applyBorder="1"/>
    <xf numFmtId="0" fontId="31" fillId="14" borderId="7" xfId="0" applyFont="1" applyFill="1" applyBorder="1" applyAlignment="1"/>
    <xf numFmtId="0" fontId="66" fillId="0" borderId="0" xfId="0" applyFont="1"/>
    <xf numFmtId="0" fontId="31" fillId="22" borderId="0" xfId="0" applyFont="1" applyFill="1" applyBorder="1" applyProtection="1"/>
    <xf numFmtId="0" fontId="38" fillId="22" borderId="0" xfId="0" applyFont="1" applyFill="1" applyBorder="1" applyProtection="1"/>
    <xf numFmtId="0" fontId="54" fillId="22" borderId="0" xfId="0" applyFont="1" applyFill="1" applyBorder="1" applyProtection="1"/>
    <xf numFmtId="0" fontId="32" fillId="22" borderId="0" xfId="4" applyFont="1" applyFill="1" applyBorder="1" applyAlignment="1" applyProtection="1">
      <alignment horizontal="center"/>
    </xf>
    <xf numFmtId="0" fontId="35" fillId="22" borderId="0" xfId="0" applyFont="1" applyFill="1" applyBorder="1" applyAlignment="1" applyProtection="1">
      <alignment horizontal="center"/>
    </xf>
    <xf numFmtId="0" fontId="55" fillId="22" borderId="0" xfId="0" applyFont="1" applyFill="1" applyBorder="1" applyProtection="1"/>
    <xf numFmtId="0" fontId="31" fillId="22" borderId="0" xfId="0" applyFont="1" applyFill="1" applyBorder="1" applyAlignment="1" applyProtection="1"/>
    <xf numFmtId="0" fontId="32" fillId="22" borderId="0" xfId="0" applyFont="1" applyFill="1" applyBorder="1" applyAlignment="1" applyProtection="1">
      <alignment horizontal="center"/>
    </xf>
    <xf numFmtId="0" fontId="42" fillId="22" borderId="0" xfId="0" applyFont="1" applyFill="1" applyBorder="1" applyProtection="1"/>
    <xf numFmtId="0" fontId="41" fillId="22" borderId="0" xfId="0" applyNumberFormat="1" applyFont="1" applyFill="1" applyBorder="1" applyAlignment="1" applyProtection="1"/>
    <xf numFmtId="0" fontId="58" fillId="22" borderId="0" xfId="0" applyFont="1" applyFill="1" applyBorder="1" applyAlignment="1" applyProtection="1">
      <alignment horizontal="center" vertical="center" textRotation="90"/>
    </xf>
    <xf numFmtId="0" fontId="30" fillId="22" borderId="0" xfId="0" applyFont="1" applyFill="1" applyBorder="1" applyAlignment="1" applyProtection="1">
      <alignment horizontal="center" vertical="center" textRotation="90"/>
    </xf>
    <xf numFmtId="0" fontId="40" fillId="22" borderId="0" xfId="0" applyFont="1" applyFill="1" applyBorder="1" applyAlignment="1" applyProtection="1">
      <alignment horizontal="center" vertical="center" textRotation="90"/>
    </xf>
    <xf numFmtId="0" fontId="31" fillId="22" borderId="0" xfId="0" applyFont="1" applyFill="1" applyBorder="1" applyAlignment="1" applyProtection="1">
      <alignment horizontal="center"/>
    </xf>
    <xf numFmtId="0" fontId="62" fillId="22" borderId="0" xfId="4" applyFont="1" applyFill="1" applyBorder="1" applyAlignment="1" applyProtection="1">
      <alignment horizontal="center"/>
    </xf>
    <xf numFmtId="0" fontId="62" fillId="22" borderId="0" xfId="4" applyFont="1" applyFill="1" applyBorder="1" applyAlignment="1" applyProtection="1">
      <alignment horizontal="center" vertical="center"/>
    </xf>
    <xf numFmtId="0" fontId="31" fillId="6" borderId="0" xfId="0" applyFont="1" applyFill="1" applyBorder="1" applyProtection="1"/>
    <xf numFmtId="0" fontId="41" fillId="6" borderId="0" xfId="0" applyFont="1" applyFill="1" applyBorder="1" applyAlignment="1" applyProtection="1"/>
    <xf numFmtId="0" fontId="49" fillId="6" borderId="0" xfId="0" applyFont="1" applyFill="1" applyBorder="1" applyAlignment="1" applyProtection="1"/>
    <xf numFmtId="0" fontId="50" fillId="22" borderId="0" xfId="0" applyFont="1" applyFill="1" applyBorder="1" applyProtection="1"/>
    <xf numFmtId="0" fontId="52" fillId="22" borderId="0" xfId="0" applyFont="1" applyFill="1" applyBorder="1" applyAlignment="1" applyProtection="1">
      <alignment horizontal="left"/>
    </xf>
    <xf numFmtId="0" fontId="62" fillId="22" borderId="0" xfId="4" applyFont="1" applyFill="1" applyBorder="1" applyAlignment="1" applyProtection="1">
      <alignment horizontal="center" wrapText="1"/>
    </xf>
    <xf numFmtId="0" fontId="62" fillId="22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2" borderId="0" xfId="0" applyFont="1" applyFill="1" applyBorder="1" applyAlignment="1" applyProtection="1">
      <alignment horizontal="center" vertical="center" textRotation="90"/>
    </xf>
    <xf numFmtId="0" fontId="75" fillId="22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8" fillId="22" borderId="0" xfId="0" applyFont="1" applyFill="1" applyBorder="1" applyAlignment="1" applyProtection="1">
      <alignment horizontal="center" textRotation="90"/>
    </xf>
    <xf numFmtId="0" fontId="56" fillId="22" borderId="0" xfId="0" applyFont="1" applyFill="1" applyBorder="1" applyAlignment="1" applyProtection="1"/>
    <xf numFmtId="0" fontId="31" fillId="0" borderId="0" xfId="0" applyFont="1" applyAlignment="1" applyProtection="1"/>
    <xf numFmtId="0" fontId="55" fillId="22" borderId="0" xfId="0" applyFont="1" applyFill="1" applyBorder="1" applyAlignment="1" applyProtection="1">
      <alignment horizontal="center"/>
    </xf>
    <xf numFmtId="0" fontId="42" fillId="22" borderId="0" xfId="0" applyFont="1" applyFill="1" applyBorder="1" applyAlignment="1" applyProtection="1"/>
    <xf numFmtId="0" fontId="38" fillId="0" borderId="0" xfId="0" applyFont="1" applyAlignment="1" applyProtection="1"/>
    <xf numFmtId="0" fontId="61" fillId="22" borderId="0" xfId="0" applyFont="1" applyFill="1" applyBorder="1" applyAlignment="1" applyProtection="1">
      <alignment horizontal="center" vertical="center" textRotation="90"/>
    </xf>
    <xf numFmtId="0" fontId="58" fillId="22" borderId="37" xfId="0" applyFont="1" applyFill="1" applyBorder="1" applyAlignment="1" applyProtection="1">
      <alignment horizontal="center" vertical="center" textRotation="90"/>
    </xf>
    <xf numFmtId="0" fontId="1" fillId="22" borderId="0" xfId="0" applyFont="1" applyFill="1" applyBorder="1" applyProtection="1"/>
    <xf numFmtId="0" fontId="3" fillId="22" borderId="0" xfId="0" applyFont="1" applyFill="1" applyBorder="1" applyProtection="1"/>
    <xf numFmtId="0" fontId="2" fillId="22" borderId="0" xfId="0" applyFont="1" applyFill="1" applyBorder="1" applyAlignment="1" applyProtection="1">
      <alignment horizontal="center"/>
    </xf>
    <xf numFmtId="0" fontId="83" fillId="22" borderId="0" xfId="0" applyFont="1" applyFill="1" applyBorder="1" applyProtection="1"/>
    <xf numFmtId="0" fontId="7" fillId="22" borderId="0" xfId="0" applyFont="1" applyFill="1" applyBorder="1" applyProtection="1"/>
    <xf numFmtId="0" fontId="1" fillId="22" borderId="0" xfId="0" applyNumberFormat="1" applyFont="1" applyFill="1" applyBorder="1" applyAlignment="1" applyProtection="1">
      <alignment horizontal="center"/>
    </xf>
    <xf numFmtId="168" fontId="1" fillId="22" borderId="0" xfId="2" applyNumberFormat="1" applyFont="1" applyFill="1" applyBorder="1" applyAlignment="1" applyProtection="1">
      <alignment horizontal="center"/>
    </xf>
    <xf numFmtId="0" fontId="81" fillId="22" borderId="0" xfId="0" applyFont="1" applyFill="1" applyBorder="1" applyAlignment="1" applyProtection="1">
      <alignment horizontal="center"/>
      <protection locked="0"/>
    </xf>
    <xf numFmtId="165" fontId="7" fillId="22" borderId="0" xfId="1" applyFont="1" applyFill="1" applyBorder="1" applyAlignment="1" applyProtection="1">
      <alignment horizontal="left"/>
    </xf>
    <xf numFmtId="164" fontId="7" fillId="22" borderId="0" xfId="2" applyFont="1" applyFill="1" applyBorder="1" applyAlignment="1" applyProtection="1">
      <alignment horizontal="left"/>
    </xf>
    <xf numFmtId="164" fontId="1" fillId="22" borderId="0" xfId="2" applyFont="1" applyFill="1" applyBorder="1" applyAlignment="1" applyProtection="1">
      <alignment horizontal="right"/>
    </xf>
    <xf numFmtId="0" fontId="7" fillId="22" borderId="0" xfId="0" applyFont="1" applyFill="1" applyBorder="1" applyAlignment="1" applyProtection="1">
      <alignment horizontal="left"/>
    </xf>
    <xf numFmtId="0" fontId="85" fillId="22" borderId="0" xfId="0" applyFont="1" applyFill="1" applyBorder="1" applyAlignment="1" applyProtection="1">
      <alignment horizontal="center"/>
    </xf>
    <xf numFmtId="164" fontId="1" fillId="22" borderId="1" xfId="2" applyFont="1" applyFill="1" applyBorder="1" applyAlignment="1" applyProtection="1">
      <alignment horizontal="center"/>
    </xf>
    <xf numFmtId="0" fontId="81" fillId="22" borderId="1" xfId="0" applyFont="1" applyFill="1" applyBorder="1" applyAlignment="1" applyProtection="1">
      <alignment horizontal="center"/>
      <protection locked="0"/>
    </xf>
    <xf numFmtId="0" fontId="1" fillId="22" borderId="1" xfId="0" applyFont="1" applyFill="1" applyBorder="1" applyProtection="1"/>
    <xf numFmtId="0" fontId="7" fillId="22" borderId="0" xfId="2" applyNumberFormat="1" applyFont="1" applyFill="1" applyBorder="1" applyAlignment="1" applyProtection="1">
      <alignment horizontal="center"/>
    </xf>
    <xf numFmtId="0" fontId="7" fillId="22" borderId="0" xfId="2" applyNumberFormat="1" applyFont="1" applyFill="1" applyBorder="1" applyAlignment="1" applyProtection="1">
      <alignment horizontal="left"/>
    </xf>
    <xf numFmtId="0" fontId="86" fillId="22" borderId="0" xfId="0" applyFont="1" applyFill="1" applyBorder="1" applyAlignment="1" applyProtection="1">
      <alignment horizontal="center"/>
    </xf>
    <xf numFmtId="0" fontId="85" fillId="22" borderId="0" xfId="0" applyFont="1" applyFill="1" applyBorder="1" applyProtection="1"/>
    <xf numFmtId="164" fontId="7" fillId="22" borderId="0" xfId="2" applyFont="1" applyFill="1" applyBorder="1" applyAlignment="1" applyProtection="1">
      <alignment horizontal="center"/>
    </xf>
    <xf numFmtId="164" fontId="7" fillId="22" borderId="0" xfId="2" applyFont="1" applyFill="1" applyBorder="1" applyAlignment="1" applyProtection="1">
      <alignment horizontal="right"/>
    </xf>
    <xf numFmtId="168" fontId="7" fillId="22" borderId="0" xfId="1" applyNumberFormat="1" applyFont="1" applyFill="1" applyBorder="1" applyAlignment="1" applyProtection="1">
      <alignment horizontal="left"/>
    </xf>
    <xf numFmtId="0" fontId="1" fillId="22" borderId="0" xfId="0" applyFont="1" applyFill="1" applyBorder="1" applyAlignment="1" applyProtection="1">
      <alignment horizontal="left"/>
    </xf>
    <xf numFmtId="0" fontId="75" fillId="22" borderId="0" xfId="0" applyFont="1" applyFill="1" applyBorder="1" applyAlignment="1" applyProtection="1">
      <alignment horizontal="center"/>
    </xf>
    <xf numFmtId="0" fontId="84" fillId="22" borderId="0" xfId="0" applyFont="1" applyFill="1" applyBorder="1" applyAlignment="1" applyProtection="1">
      <alignment vertical="center" wrapText="1"/>
    </xf>
    <xf numFmtId="164" fontId="2" fillId="22" borderId="1" xfId="2" applyFont="1" applyFill="1" applyBorder="1" applyAlignment="1" applyProtection="1">
      <alignment horizontal="center"/>
    </xf>
    <xf numFmtId="0" fontId="7" fillId="22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2" borderId="0" xfId="2" applyNumberFormat="1" applyFont="1" applyFill="1" applyBorder="1" applyAlignment="1" applyProtection="1">
      <alignment horizontal="center"/>
    </xf>
    <xf numFmtId="0" fontId="83" fillId="22" borderId="0" xfId="2" applyNumberFormat="1" applyFont="1" applyFill="1" applyBorder="1" applyAlignment="1" applyProtection="1">
      <alignment horizontal="right"/>
    </xf>
    <xf numFmtId="0" fontId="83" fillId="22" borderId="0" xfId="2" applyNumberFormat="1" applyFont="1" applyFill="1" applyBorder="1" applyAlignment="1" applyProtection="1">
      <alignment horizontal="left"/>
    </xf>
    <xf numFmtId="0" fontId="83" fillId="22" borderId="0" xfId="0" applyNumberFormat="1" applyFont="1" applyFill="1" applyBorder="1" applyAlignment="1" applyProtection="1">
      <alignment horizontal="center"/>
    </xf>
    <xf numFmtId="168" fontId="83" fillId="22" borderId="0" xfId="1" applyNumberFormat="1" applyFont="1" applyFill="1" applyBorder="1" applyAlignment="1" applyProtection="1">
      <alignment horizontal="left"/>
    </xf>
    <xf numFmtId="164" fontId="83" fillId="22" borderId="0" xfId="2" applyFont="1" applyFill="1" applyBorder="1" applyAlignment="1" applyProtection="1">
      <alignment horizontal="left"/>
    </xf>
    <xf numFmtId="164" fontId="83" fillId="22" borderId="0" xfId="2" applyFont="1" applyFill="1" applyBorder="1" applyAlignment="1" applyProtection="1">
      <alignment horizontal="right"/>
    </xf>
    <xf numFmtId="0" fontId="83" fillId="22" borderId="0" xfId="0" applyFont="1" applyFill="1" applyBorder="1" applyAlignment="1" applyProtection="1">
      <alignment horizontal="left"/>
    </xf>
    <xf numFmtId="168" fontId="84" fillId="22" borderId="0" xfId="1" applyNumberFormat="1" applyFont="1" applyFill="1" applyBorder="1" applyAlignment="1" applyProtection="1">
      <alignment horizontal="left"/>
    </xf>
    <xf numFmtId="164" fontId="84" fillId="22" borderId="0" xfId="2" applyFont="1" applyFill="1" applyBorder="1" applyAlignment="1" applyProtection="1">
      <alignment horizontal="right"/>
    </xf>
    <xf numFmtId="0" fontId="84" fillId="22" borderId="0" xfId="0" applyFont="1" applyFill="1" applyBorder="1" applyAlignment="1" applyProtection="1">
      <alignment horizontal="left"/>
    </xf>
    <xf numFmtId="164" fontId="84" fillId="22" borderId="0" xfId="2" applyFont="1" applyFill="1" applyBorder="1" applyAlignment="1" applyProtection="1">
      <alignment horizontal="left"/>
    </xf>
    <xf numFmtId="164" fontId="83" fillId="22" borderId="0" xfId="2" applyFont="1" applyFill="1" applyBorder="1" applyAlignment="1" applyProtection="1">
      <alignment horizontal="center"/>
    </xf>
    <xf numFmtId="0" fontId="89" fillId="22" borderId="0" xfId="0" applyFont="1" applyFill="1" applyBorder="1" applyAlignment="1" applyProtection="1">
      <alignment horizontal="center"/>
    </xf>
    <xf numFmtId="0" fontId="82" fillId="22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2" borderId="0" xfId="0" applyFont="1" applyFill="1" applyProtection="1"/>
    <xf numFmtId="0" fontId="83" fillId="22" borderId="1" xfId="0" applyFont="1" applyFill="1" applyBorder="1" applyProtection="1"/>
    <xf numFmtId="0" fontId="90" fillId="22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2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2" borderId="0" xfId="2" applyNumberFormat="1" applyFont="1" applyFill="1" applyBorder="1" applyAlignment="1" applyProtection="1">
      <alignment horizontal="left"/>
    </xf>
    <xf numFmtId="0" fontId="83" fillId="22" borderId="0" xfId="0" applyFont="1" applyFill="1" applyBorder="1" applyAlignment="1" applyProtection="1"/>
    <xf numFmtId="0" fontId="85" fillId="22" borderId="0" xfId="0" applyFont="1" applyFill="1" applyBorder="1" applyAlignment="1" applyProtection="1"/>
    <xf numFmtId="164" fontId="83" fillId="10" borderId="0" xfId="2" applyFont="1" applyFill="1" applyBorder="1" applyAlignment="1" applyProtection="1">
      <alignment horizontal="center"/>
    </xf>
    <xf numFmtId="0" fontId="85" fillId="10" borderId="0" xfId="0" applyFont="1" applyFill="1" applyBorder="1" applyAlignment="1" applyProtection="1">
      <alignment horizontal="center"/>
      <protection locked="0"/>
    </xf>
    <xf numFmtId="0" fontId="83" fillId="10" borderId="0" xfId="0" applyFont="1" applyFill="1" applyBorder="1" applyProtection="1"/>
    <xf numFmtId="168" fontId="83" fillId="22" borderId="0" xfId="2" applyNumberFormat="1" applyFont="1" applyFill="1" applyBorder="1" applyAlignment="1" applyProtection="1">
      <alignment horizontal="center"/>
    </xf>
    <xf numFmtId="0" fontId="85" fillId="22" borderId="0" xfId="0" applyFont="1" applyFill="1" applyBorder="1" applyAlignment="1" applyProtection="1">
      <alignment horizontal="center"/>
      <protection locked="0"/>
    </xf>
    <xf numFmtId="0" fontId="83" fillId="22" borderId="92" xfId="0" applyFont="1" applyFill="1" applyBorder="1" applyProtection="1"/>
    <xf numFmtId="0" fontId="85" fillId="22" borderId="0" xfId="0" applyFont="1" applyFill="1" applyBorder="1" applyAlignment="1" applyProtection="1">
      <alignment vertical="center"/>
    </xf>
    <xf numFmtId="0" fontId="83" fillId="22" borderId="39" xfId="0" applyFont="1" applyFill="1" applyBorder="1" applyProtection="1"/>
    <xf numFmtId="164" fontId="83" fillId="22" borderId="39" xfId="2" applyFont="1" applyFill="1" applyBorder="1" applyAlignment="1" applyProtection="1">
      <alignment horizontal="center"/>
    </xf>
    <xf numFmtId="0" fontId="85" fillId="22" borderId="39" xfId="0" applyFont="1" applyFill="1" applyBorder="1" applyAlignment="1" applyProtection="1">
      <alignment horizontal="center"/>
      <protection locked="0"/>
    </xf>
    <xf numFmtId="0" fontId="83" fillId="22" borderId="37" xfId="0" applyFont="1" applyFill="1" applyBorder="1" applyProtection="1"/>
    <xf numFmtId="0" fontId="83" fillId="22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9" fillId="22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166" fontId="41" fillId="6" borderId="23" xfId="0" applyNumberFormat="1" applyFont="1" applyFill="1" applyBorder="1" applyAlignment="1"/>
    <xf numFmtId="0" fontId="43" fillId="23" borderId="7" xfId="0" applyFont="1" applyFill="1" applyBorder="1" applyAlignment="1">
      <alignment horizontal="center"/>
    </xf>
    <xf numFmtId="0" fontId="31" fillId="23" borderId="7" xfId="0" applyFont="1" applyFill="1" applyBorder="1"/>
    <xf numFmtId="0" fontId="43" fillId="23" borderId="7" xfId="0" applyFont="1" applyFill="1" applyBorder="1"/>
    <xf numFmtId="166" fontId="52" fillId="23" borderId="7" xfId="0" applyNumberFormat="1" applyFont="1" applyFill="1" applyBorder="1"/>
    <xf numFmtId="167" fontId="52" fillId="23" borderId="7" xfId="0" applyNumberFormat="1" applyFont="1" applyFill="1" applyBorder="1"/>
    <xf numFmtId="0" fontId="52" fillId="23" borderId="7" xfId="0" applyFont="1" applyFill="1" applyBorder="1"/>
    <xf numFmtId="2" fontId="31" fillId="23" borderId="7" xfId="0" applyNumberFormat="1" applyFont="1" applyFill="1" applyBorder="1"/>
    <xf numFmtId="0" fontId="31" fillId="23" borderId="0" xfId="0" applyFont="1" applyFill="1"/>
    <xf numFmtId="166" fontId="41" fillId="23" borderId="7" xfId="0" applyNumberFormat="1" applyFont="1" applyFill="1" applyBorder="1"/>
    <xf numFmtId="166" fontId="41" fillId="23" borderId="24" xfId="2" applyNumberFormat="1" applyFont="1" applyFill="1" applyBorder="1" applyAlignment="1"/>
    <xf numFmtId="166" fontId="41" fillId="23" borderId="25" xfId="2" applyNumberFormat="1" applyFont="1" applyFill="1" applyBorder="1" applyAlignment="1"/>
    <xf numFmtId="166" fontId="41" fillId="23" borderId="23" xfId="2" applyNumberFormat="1" applyFont="1" applyFill="1" applyBorder="1" applyAlignment="1"/>
    <xf numFmtId="0" fontId="43" fillId="23" borderId="0" xfId="0" applyFont="1" applyFill="1" applyBorder="1" applyAlignment="1">
      <alignment horizontal="center" vertical="center" wrapText="1"/>
    </xf>
    <xf numFmtId="0" fontId="52" fillId="23" borderId="0" xfId="0" applyFont="1" applyFill="1" applyBorder="1" applyAlignment="1">
      <alignment horizontal="center" vertical="center" wrapText="1"/>
    </xf>
    <xf numFmtId="167" fontId="52" fillId="23" borderId="0" xfId="0" applyNumberFormat="1" applyFont="1" applyFill="1" applyBorder="1" applyAlignment="1">
      <alignment horizontal="center" vertical="center" wrapText="1"/>
    </xf>
    <xf numFmtId="166" fontId="52" fillId="23" borderId="0" xfId="0" applyNumberFormat="1" applyFont="1" applyFill="1" applyBorder="1" applyAlignment="1">
      <alignment horizontal="center" vertical="center" wrapText="1"/>
    </xf>
    <xf numFmtId="0" fontId="31" fillId="23" borderId="24" xfId="0" applyFont="1" applyFill="1" applyBorder="1" applyAlignment="1"/>
    <xf numFmtId="166" fontId="41" fillId="23" borderId="24" xfId="0" applyNumberFormat="1" applyFont="1" applyFill="1" applyBorder="1" applyAlignment="1"/>
    <xf numFmtId="3" fontId="52" fillId="23" borderId="7" xfId="0" applyNumberFormat="1" applyFont="1" applyFill="1" applyBorder="1"/>
    <xf numFmtId="167" fontId="65" fillId="23" borderId="7" xfId="0" applyNumberFormat="1" applyFont="1" applyFill="1" applyBorder="1"/>
    <xf numFmtId="166" fontId="41" fillId="23" borderId="24" xfId="0" applyNumberFormat="1" applyFont="1" applyFill="1" applyBorder="1"/>
    <xf numFmtId="166" fontId="41" fillId="23" borderId="25" xfId="0" applyNumberFormat="1" applyFont="1" applyFill="1" applyBorder="1"/>
    <xf numFmtId="166" fontId="41" fillId="23" borderId="23" xfId="0" applyNumberFormat="1" applyFont="1" applyFill="1" applyBorder="1"/>
    <xf numFmtId="0" fontId="52" fillId="23" borderId="7" xfId="0" applyFont="1" applyFill="1" applyBorder="1" applyAlignment="1">
      <alignment horizontal="center"/>
    </xf>
    <xf numFmtId="0" fontId="41" fillId="23" borderId="23" xfId="0" applyFont="1" applyFill="1" applyBorder="1" applyAlignment="1"/>
    <xf numFmtId="0" fontId="41" fillId="23" borderId="24" xfId="0" applyFont="1" applyFill="1" applyBorder="1" applyAlignment="1"/>
    <xf numFmtId="0" fontId="41" fillId="6" borderId="23" xfId="0" applyFont="1" applyFill="1" applyBorder="1" applyAlignment="1"/>
    <xf numFmtId="0" fontId="41" fillId="6" borderId="24" xfId="0" applyFont="1" applyFill="1" applyBorder="1" applyAlignment="1"/>
    <xf numFmtId="0" fontId="41" fillId="6" borderId="25" xfId="0" applyFont="1" applyFill="1" applyBorder="1" applyAlignment="1"/>
    <xf numFmtId="0" fontId="31" fillId="0" borderId="0" xfId="0" applyFont="1" applyFill="1" applyBorder="1" applyProtection="1"/>
    <xf numFmtId="0" fontId="42" fillId="0" borderId="0" xfId="0" applyFont="1" applyBorder="1" applyProtection="1"/>
    <xf numFmtId="166" fontId="41" fillId="6" borderId="24" xfId="0" applyNumberFormat="1" applyFont="1" applyFill="1" applyBorder="1"/>
    <xf numFmtId="0" fontId="42" fillId="0" borderId="0" xfId="0" applyFont="1" applyFill="1" applyBorder="1" applyProtection="1"/>
    <xf numFmtId="0" fontId="41" fillId="0" borderId="24" xfId="0" applyFont="1" applyFill="1" applyBorder="1" applyAlignment="1"/>
    <xf numFmtId="0" fontId="31" fillId="23" borderId="23" xfId="0" applyFont="1" applyFill="1" applyBorder="1" applyAlignment="1"/>
    <xf numFmtId="0" fontId="83" fillId="0" borderId="0" xfId="0" applyNumberFormat="1" applyFont="1" applyBorder="1" applyAlignment="1" applyProtection="1">
      <alignment horizontal="center"/>
    </xf>
    <xf numFmtId="0" fontId="34" fillId="22" borderId="0" xfId="0" applyFont="1" applyFill="1" applyBorder="1" applyAlignment="1" applyProtection="1">
      <alignment horizontal="center" vertical="center"/>
    </xf>
    <xf numFmtId="0" fontId="36" fillId="22" borderId="0" xfId="0" applyFont="1" applyFill="1" applyBorder="1" applyAlignment="1" applyProtection="1">
      <alignment horizontal="center" vertical="center"/>
    </xf>
    <xf numFmtId="0" fontId="62" fillId="22" borderId="0" xfId="4" applyFont="1" applyFill="1" applyBorder="1" applyAlignment="1" applyProtection="1">
      <alignment horizontal="center"/>
    </xf>
    <xf numFmtId="0" fontId="28" fillId="24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0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7" fillId="22" borderId="0" xfId="0" applyFont="1" applyFill="1" applyBorder="1" applyAlignment="1" applyProtection="1"/>
    <xf numFmtId="0" fontId="41" fillId="22" borderId="0" xfId="0" applyFont="1" applyFill="1" applyBorder="1" applyAlignment="1" applyProtection="1">
      <alignment horizontal="center" wrapText="1"/>
    </xf>
    <xf numFmtId="0" fontId="42" fillId="22" borderId="0" xfId="0" applyFont="1" applyFill="1" applyBorder="1" applyAlignment="1" applyProtection="1">
      <alignment horizontal="center" wrapText="1"/>
    </xf>
    <xf numFmtId="1" fontId="53" fillId="22" borderId="0" xfId="0" applyNumberFormat="1" applyFont="1" applyFill="1" applyBorder="1" applyAlignment="1" applyProtection="1">
      <alignment horizontal="center"/>
    </xf>
    <xf numFmtId="0" fontId="57" fillId="22" borderId="0" xfId="0" applyFont="1" applyFill="1" applyBorder="1" applyAlignment="1" applyProtection="1">
      <alignment horizontal="center"/>
    </xf>
    <xf numFmtId="0" fontId="54" fillId="22" borderId="36" xfId="0" applyFont="1" applyFill="1" applyBorder="1" applyProtection="1"/>
    <xf numFmtId="0" fontId="55" fillId="22" borderId="0" xfId="0" applyFont="1" applyFill="1" applyBorder="1" applyAlignment="1" applyProtection="1"/>
    <xf numFmtId="0" fontId="30" fillId="0" borderId="0" xfId="0" applyFont="1" applyBorder="1" applyProtection="1"/>
    <xf numFmtId="0" fontId="33" fillId="0" borderId="0" xfId="0" applyFont="1" applyFill="1" applyBorder="1" applyProtection="1"/>
    <xf numFmtId="0" fontId="37" fillId="0" borderId="0" xfId="0" applyFont="1" applyFill="1" applyBorder="1" applyProtection="1"/>
    <xf numFmtId="0" fontId="55" fillId="0" borderId="0" xfId="0" applyFont="1" applyBorder="1" applyAlignment="1" applyProtection="1">
      <alignment horizontal="center" vertical="center"/>
    </xf>
    <xf numFmtId="0" fontId="56" fillId="0" borderId="0" xfId="0" applyFont="1" applyBorder="1" applyProtection="1"/>
    <xf numFmtId="0" fontId="38" fillId="0" borderId="0" xfId="0" applyFont="1" applyBorder="1" applyProtection="1"/>
    <xf numFmtId="0" fontId="31" fillId="0" borderId="0" xfId="0" applyFont="1" applyBorder="1" applyAlignment="1" applyProtection="1"/>
    <xf numFmtId="0" fontId="54" fillId="0" borderId="0" xfId="0" applyFont="1" applyBorder="1" applyProtection="1"/>
    <xf numFmtId="0" fontId="38" fillId="0" borderId="0" xfId="0" applyFont="1" applyBorder="1" applyAlignment="1" applyProtection="1"/>
    <xf numFmtId="0" fontId="76" fillId="0" borderId="0" xfId="0" applyFont="1" applyFill="1" applyBorder="1" applyProtection="1"/>
    <xf numFmtId="0" fontId="55" fillId="0" borderId="0" xfId="0" applyFont="1" applyBorder="1" applyProtection="1"/>
    <xf numFmtId="0" fontId="48" fillId="0" borderId="0" xfId="0" applyFont="1" applyFill="1" applyBorder="1" applyProtection="1"/>
    <xf numFmtId="0" fontId="48" fillId="0" borderId="0" xfId="0" applyFont="1" applyFill="1" applyBorder="1" applyAlignment="1" applyProtection="1">
      <alignment vertical="center"/>
    </xf>
    <xf numFmtId="0" fontId="59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5" fillId="0" borderId="0" xfId="0" applyFont="1" applyFill="1" applyBorder="1" applyProtection="1"/>
    <xf numFmtId="0" fontId="75" fillId="22" borderId="0" xfId="4" applyFont="1" applyFill="1" applyBorder="1" applyAlignment="1" applyProtection="1">
      <alignment horizontal="center" vertical="center"/>
    </xf>
    <xf numFmtId="0" fontId="58" fillId="22" borderId="0" xfId="0" applyFont="1" applyFill="1" applyBorder="1" applyAlignment="1" applyProtection="1">
      <alignment horizontal="center" vertical="center" textRotation="90"/>
    </xf>
    <xf numFmtId="164" fontId="83" fillId="22" borderId="34" xfId="2" applyFont="1" applyFill="1" applyBorder="1" applyAlignment="1" applyProtection="1">
      <alignment horizontal="center"/>
    </xf>
    <xf numFmtId="164" fontId="83" fillId="22" borderId="34" xfId="2" applyFont="1" applyFill="1" applyBorder="1" applyAlignment="1" applyProtection="1">
      <alignment horizontal="right"/>
    </xf>
    <xf numFmtId="0" fontId="83" fillId="22" borderId="34" xfId="2" applyNumberFormat="1" applyFont="1" applyFill="1" applyBorder="1" applyAlignment="1" applyProtection="1">
      <alignment horizontal="left"/>
    </xf>
    <xf numFmtId="164" fontId="83" fillId="22" borderId="48" xfId="2" applyFont="1" applyFill="1" applyBorder="1" applyAlignment="1" applyProtection="1">
      <alignment horizontal="center"/>
    </xf>
    <xf numFmtId="164" fontId="83" fillId="22" borderId="48" xfId="2" applyFont="1" applyFill="1" applyBorder="1" applyAlignment="1" applyProtection="1">
      <alignment horizontal="right"/>
    </xf>
    <xf numFmtId="0" fontId="83" fillId="22" borderId="48" xfId="2" applyNumberFormat="1" applyFont="1" applyFill="1" applyBorder="1" applyAlignment="1" applyProtection="1">
      <alignment horizontal="left"/>
    </xf>
    <xf numFmtId="0" fontId="86" fillId="22" borderId="39" xfId="0" applyFont="1" applyFill="1" applyBorder="1" applyAlignment="1" applyProtection="1">
      <alignment horizontal="center"/>
    </xf>
    <xf numFmtId="0" fontId="72" fillId="22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5" fillId="0" borderId="0" xfId="0" applyFont="1" applyFill="1" applyBorder="1" applyAlignment="1" applyProtection="1">
      <alignment horizontal="right"/>
    </xf>
    <xf numFmtId="0" fontId="54" fillId="0" borderId="0" xfId="0" applyFont="1" applyFill="1" applyBorder="1"/>
    <xf numFmtId="0" fontId="45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164" fontId="41" fillId="6" borderId="25" xfId="2" applyFont="1" applyFill="1" applyBorder="1" applyAlignment="1"/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2" borderId="0" xfId="0" applyFont="1" applyFill="1" applyBorder="1" applyAlignment="1" applyProtection="1">
      <alignment horizontal="center"/>
      <protection locked="0"/>
    </xf>
    <xf numFmtId="0" fontId="101" fillId="24" borderId="0" xfId="0" applyFont="1" applyFill="1" applyBorder="1" applyAlignment="1" applyProtection="1">
      <alignment horizontal="left"/>
    </xf>
    <xf numFmtId="0" fontId="101" fillId="24" borderId="0" xfId="0" applyFont="1" applyFill="1" applyBorder="1" applyAlignment="1" applyProtection="1"/>
    <xf numFmtId="0" fontId="101" fillId="24" borderId="0" xfId="0" applyFont="1" applyFill="1" applyBorder="1" applyProtection="1"/>
    <xf numFmtId="0" fontId="29" fillId="24" borderId="0" xfId="0" applyFont="1" applyFill="1" applyBorder="1" applyAlignment="1" applyProtection="1">
      <alignment vertical="center"/>
    </xf>
    <xf numFmtId="0" fontId="39" fillId="22" borderId="0" xfId="0" applyFont="1" applyFill="1" applyBorder="1" applyAlignment="1" applyProtection="1"/>
    <xf numFmtId="164" fontId="31" fillId="22" borderId="0" xfId="2" applyFont="1" applyFill="1" applyBorder="1" applyAlignment="1" applyProtection="1">
      <alignment horizontal="center"/>
    </xf>
    <xf numFmtId="164" fontId="31" fillId="22" borderId="0" xfId="2" applyFont="1" applyFill="1" applyBorder="1" applyAlignment="1" applyProtection="1">
      <alignment horizontal="right"/>
    </xf>
    <xf numFmtId="0" fontId="31" fillId="22" borderId="0" xfId="2" applyNumberFormat="1" applyFont="1" applyFill="1" applyBorder="1" applyAlignment="1" applyProtection="1">
      <alignment horizontal="left"/>
    </xf>
    <xf numFmtId="0" fontId="31" fillId="22" borderId="0" xfId="0" applyFont="1" applyFill="1" applyBorder="1" applyAlignment="1" applyProtection="1">
      <alignment horizontal="left"/>
    </xf>
    <xf numFmtId="0" fontId="85" fillId="22" borderId="121" xfId="0" applyFont="1" applyFill="1" applyBorder="1" applyAlignment="1" applyProtection="1">
      <alignment vertical="center"/>
    </xf>
    <xf numFmtId="0" fontId="85" fillId="22" borderId="120" xfId="0" applyFont="1" applyFill="1" applyBorder="1" applyAlignment="1" applyProtection="1">
      <alignment horizontal="center"/>
    </xf>
    <xf numFmtId="0" fontId="31" fillId="22" borderId="0" xfId="0" applyFont="1" applyFill="1" applyProtection="1"/>
    <xf numFmtId="0" fontId="33" fillId="22" borderId="0" xfId="0" applyFont="1" applyFill="1" applyProtection="1"/>
    <xf numFmtId="0" fontId="51" fillId="22" borderId="0" xfId="0" applyFont="1" applyFill="1" applyBorder="1" applyAlignment="1" applyProtection="1"/>
    <xf numFmtId="0" fontId="42" fillId="22" borderId="0" xfId="0" applyFont="1" applyFill="1" applyProtection="1"/>
    <xf numFmtId="0" fontId="37" fillId="22" borderId="0" xfId="0" applyFont="1" applyFill="1" applyProtection="1"/>
    <xf numFmtId="0" fontId="55" fillId="22" borderId="0" xfId="0" applyFont="1" applyFill="1" applyAlignment="1" applyProtection="1">
      <alignment horizontal="center" vertical="center"/>
    </xf>
    <xf numFmtId="0" fontId="56" fillId="22" borderId="0" xfId="0" applyFont="1" applyFill="1" applyProtection="1"/>
    <xf numFmtId="0" fontId="38" fillId="22" borderId="0" xfId="0" applyFont="1" applyFill="1" applyProtection="1"/>
    <xf numFmtId="0" fontId="31" fillId="22" borderId="0" xfId="0" applyFont="1" applyFill="1" applyAlignment="1" applyProtection="1"/>
    <xf numFmtId="0" fontId="54" fillId="22" borderId="0" xfId="0" applyFont="1" applyFill="1" applyProtection="1"/>
    <xf numFmtId="0" fontId="38" fillId="22" borderId="0" xfId="0" applyFont="1" applyFill="1" applyAlignment="1" applyProtection="1"/>
    <xf numFmtId="0" fontId="76" fillId="22" borderId="0" xfId="0" applyFont="1" applyFill="1" applyProtection="1"/>
    <xf numFmtId="0" fontId="55" fillId="22" borderId="0" xfId="0" applyFont="1" applyFill="1" applyProtection="1"/>
    <xf numFmtId="0" fontId="48" fillId="22" borderId="0" xfId="0" applyFont="1" applyFill="1" applyProtection="1"/>
    <xf numFmtId="0" fontId="48" fillId="22" borderId="0" xfId="0" applyFont="1" applyFill="1" applyAlignment="1" applyProtection="1">
      <alignment vertical="center"/>
    </xf>
    <xf numFmtId="0" fontId="59" fillId="22" borderId="0" xfId="0" applyFont="1" applyFill="1" applyProtection="1"/>
    <xf numFmtId="0" fontId="73" fillId="22" borderId="0" xfId="0" applyFont="1" applyFill="1" applyProtection="1"/>
    <xf numFmtId="164" fontId="1" fillId="22" borderId="0" xfId="2" applyFont="1" applyFill="1" applyBorder="1" applyAlignment="1" applyProtection="1">
      <alignment horizontal="center"/>
    </xf>
    <xf numFmtId="0" fontId="31" fillId="6" borderId="0" xfId="0" applyFont="1" applyFill="1" applyProtection="1"/>
    <xf numFmtId="168" fontId="7" fillId="6" borderId="0" xfId="1" applyNumberFormat="1" applyFont="1" applyFill="1" applyBorder="1" applyAlignment="1" applyProtection="1">
      <alignment horizontal="left"/>
    </xf>
    <xf numFmtId="164" fontId="7" fillId="6" borderId="0" xfId="2" applyFont="1" applyFill="1" applyBorder="1" applyAlignment="1" applyProtection="1">
      <alignment horizontal="left"/>
    </xf>
    <xf numFmtId="164" fontId="7" fillId="6" borderId="0" xfId="2" applyFont="1" applyFill="1" applyBorder="1" applyAlignment="1" applyProtection="1">
      <alignment horizontal="right"/>
    </xf>
    <xf numFmtId="0" fontId="7" fillId="6" borderId="0" xfId="0" applyFont="1" applyFill="1" applyBorder="1" applyAlignment="1" applyProtection="1">
      <alignment horizontal="left"/>
    </xf>
    <xf numFmtId="0" fontId="1" fillId="6" borderId="0" xfId="0" applyFont="1" applyFill="1" applyBorder="1" applyProtection="1"/>
    <xf numFmtId="0" fontId="7" fillId="6" borderId="0" xfId="2" applyNumberFormat="1" applyFont="1" applyFill="1" applyBorder="1" applyAlignment="1" applyProtection="1">
      <alignment horizontal="center"/>
    </xf>
    <xf numFmtId="0" fontId="7" fillId="6" borderId="0" xfId="2" applyNumberFormat="1" applyFont="1" applyFill="1" applyBorder="1" applyAlignment="1" applyProtection="1">
      <alignment horizontal="right"/>
    </xf>
    <xf numFmtId="0" fontId="7" fillId="6" borderId="0" xfId="2" applyNumberFormat="1" applyFont="1" applyFill="1" applyBorder="1" applyAlignment="1" applyProtection="1">
      <alignment horizontal="left"/>
    </xf>
    <xf numFmtId="0" fontId="31" fillId="22" borderId="36" xfId="0" applyFont="1" applyFill="1" applyBorder="1" applyProtection="1"/>
    <xf numFmtId="0" fontId="31" fillId="22" borderId="0" xfId="0" applyFont="1" applyFill="1" applyAlignment="1" applyProtection="1">
      <alignment vertical="center"/>
    </xf>
    <xf numFmtId="0" fontId="31" fillId="22" borderId="0" xfId="0" applyFont="1" applyFill="1" applyBorder="1" applyAlignment="1" applyProtection="1">
      <alignment vertical="center"/>
    </xf>
    <xf numFmtId="0" fontId="31" fillId="6" borderId="0" xfId="0" applyFont="1" applyFill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43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4" fillId="6" borderId="0" xfId="2" applyFont="1" applyFill="1" applyBorder="1" applyAlignment="1" applyProtection="1">
      <alignment horizontal="center" vertical="center"/>
    </xf>
    <xf numFmtId="1" fontId="31" fillId="22" borderId="0" xfId="0" applyNumberFormat="1" applyFont="1" applyFill="1" applyBorder="1" applyAlignment="1" applyProtection="1">
      <alignment vertical="center"/>
    </xf>
    <xf numFmtId="0" fontId="47" fillId="6" borderId="0" xfId="0" applyFont="1" applyFill="1" applyBorder="1" applyAlignment="1" applyProtection="1">
      <alignment horizontal="center" vertical="center"/>
    </xf>
    <xf numFmtId="0" fontId="31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0" fontId="102" fillId="0" borderId="34" xfId="0" applyFont="1" applyBorder="1" applyAlignment="1" applyProtection="1">
      <alignment horizontal="right" vertical="center"/>
    </xf>
    <xf numFmtId="49" fontId="106" fillId="0" borderId="34" xfId="0" applyNumberFormat="1" applyFont="1" applyFill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1" fillId="2" borderId="0" xfId="7" applyFont="1" applyFill="1" applyProtection="1">
      <protection locked="0"/>
    </xf>
    <xf numFmtId="0" fontId="12" fillId="2" borderId="0" xfId="7" applyFont="1" applyFill="1" applyProtection="1">
      <protection locked="0"/>
    </xf>
    <xf numFmtId="0" fontId="1" fillId="0" borderId="0" xfId="5" applyFont="1" applyFill="1"/>
    <xf numFmtId="0" fontId="1" fillId="0" borderId="0" xfId="5" applyFont="1"/>
    <xf numFmtId="0" fontId="5" fillId="0" borderId="0" xfId="5" applyFont="1" applyFill="1" applyAlignment="1"/>
    <xf numFmtId="0" fontId="5" fillId="0" borderId="0" xfId="7" applyFont="1" applyFill="1" applyProtection="1">
      <protection locked="0"/>
    </xf>
    <xf numFmtId="0" fontId="2" fillId="6" borderId="0" xfId="7" applyFont="1" applyFill="1" applyProtection="1">
      <protection locked="0"/>
    </xf>
    <xf numFmtId="0" fontId="5" fillId="2" borderId="0" xfId="7" applyFont="1" applyFill="1" applyAlignment="1" applyProtection="1">
      <alignment horizontal="right"/>
      <protection locked="0"/>
    </xf>
    <xf numFmtId="0" fontId="5" fillId="2" borderId="0" xfId="7" applyFont="1" applyFill="1" applyAlignment="1" applyProtection="1">
      <alignment horizontal="left" indent="3"/>
      <protection locked="0"/>
    </xf>
    <xf numFmtId="14" fontId="1" fillId="2" borderId="0" xfId="7" applyNumberFormat="1" applyFont="1" applyFill="1" applyAlignment="1" applyProtection="1">
      <alignment horizontal="left"/>
      <protection locked="0"/>
    </xf>
    <xf numFmtId="0" fontId="8" fillId="2" borderId="0" xfId="7" applyFont="1" applyFill="1" applyBorder="1" applyAlignment="1" applyProtection="1">
      <alignment horizontal="left" indent="3"/>
      <protection locked="0"/>
    </xf>
    <xf numFmtId="14" fontId="1" fillId="2" borderId="0" xfId="7" applyNumberFormat="1" applyFont="1" applyFill="1" applyBorder="1" applyAlignment="1" applyProtection="1">
      <alignment horizontal="left"/>
      <protection locked="0"/>
    </xf>
    <xf numFmtId="0" fontId="5" fillId="0" borderId="0" xfId="5" applyFont="1" applyFill="1"/>
    <xf numFmtId="0" fontId="1" fillId="2" borderId="0" xfId="7" applyFont="1" applyFill="1"/>
    <xf numFmtId="0" fontId="8" fillId="2" borderId="0" xfId="7" applyFont="1" applyFill="1" applyProtection="1">
      <protection locked="0"/>
    </xf>
    <xf numFmtId="0" fontId="1" fillId="2" borderId="0" xfId="7" applyFont="1" applyFill="1" applyAlignment="1" applyProtection="1">
      <alignment horizontal="center"/>
      <protection locked="0"/>
    </xf>
    <xf numFmtId="0" fontId="8" fillId="2" borderId="0" xfId="7" applyFont="1" applyFill="1" applyAlignment="1" applyProtection="1">
      <alignment horizontal="right"/>
      <protection locked="0"/>
    </xf>
    <xf numFmtId="0" fontId="13" fillId="0" borderId="0" xfId="4" applyFont="1" applyFill="1" applyAlignment="1" applyProtection="1"/>
    <xf numFmtId="0" fontId="2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4" fillId="2" borderId="0" xfId="7" applyFont="1" applyFill="1" applyProtection="1">
      <protection locked="0"/>
    </xf>
    <xf numFmtId="0" fontId="14" fillId="2" borderId="0" xfId="4" applyFont="1" applyFill="1" applyAlignment="1" applyProtection="1">
      <protection locked="0"/>
    </xf>
    <xf numFmtId="0" fontId="1" fillId="2" borderId="0" xfId="4" applyFont="1" applyFill="1" applyAlignment="1" applyProtection="1">
      <protection locked="0"/>
    </xf>
    <xf numFmtId="0" fontId="13" fillId="0" borderId="0" xfId="4" applyFont="1" applyFill="1" applyAlignment="1" applyProtection="1">
      <protection locked="0"/>
    </xf>
    <xf numFmtId="0" fontId="115" fillId="12" borderId="7" xfId="7" applyFont="1" applyFill="1" applyBorder="1" applyAlignment="1" applyProtection="1">
      <alignment horizontal="center" vertical="center"/>
      <protection locked="0"/>
    </xf>
    <xf numFmtId="0" fontId="1" fillId="2" borderId="7" xfId="7" applyNumberFormat="1" applyFont="1" applyFill="1" applyBorder="1" applyAlignment="1" applyProtection="1">
      <alignment horizontal="center" vertical="center"/>
      <protection locked="0"/>
    </xf>
    <xf numFmtId="0" fontId="1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" applyFont="1" applyFill="1" applyBorder="1" applyAlignment="1" applyProtection="1">
      <alignment horizontal="center" vertical="center" wrapText="1"/>
      <protection locked="0"/>
    </xf>
    <xf numFmtId="0" fontId="1" fillId="0" borderId="0" xfId="7" applyNumberFormat="1" applyFont="1" applyFill="1" applyBorder="1" applyAlignment="1" applyProtection="1">
      <alignment horizontal="center" vertical="center"/>
      <protection locked="0"/>
    </xf>
    <xf numFmtId="0" fontId="5" fillId="0" borderId="7" xfId="7" applyFont="1" applyFill="1" applyBorder="1" applyAlignment="1" applyProtection="1">
      <alignment horizontal="center" vertical="center"/>
      <protection locked="0"/>
    </xf>
    <xf numFmtId="166" fontId="1" fillId="10" borderId="7" xfId="7" applyNumberFormat="1" applyFont="1" applyFill="1" applyBorder="1" applyAlignment="1" applyProtection="1">
      <alignment horizontal="right" vertical="center"/>
      <protection locked="0"/>
    </xf>
    <xf numFmtId="0" fontId="1" fillId="0" borderId="0" xfId="5" applyFont="1" applyFill="1" applyBorder="1"/>
    <xf numFmtId="0" fontId="5" fillId="2" borderId="0" xfId="7" applyFont="1" applyFill="1" applyProtection="1">
      <protection locked="0"/>
    </xf>
    <xf numFmtId="1" fontId="1" fillId="2" borderId="7" xfId="7" applyNumberFormat="1" applyFont="1" applyFill="1" applyBorder="1" applyAlignment="1" applyProtection="1">
      <alignment horizontal="center" vertical="center"/>
      <protection locked="0"/>
    </xf>
    <xf numFmtId="166" fontId="1" fillId="2" borderId="7" xfId="3" applyNumberFormat="1" applyFont="1" applyFill="1" applyBorder="1" applyAlignment="1" applyProtection="1">
      <alignment horizontal="right" vertical="center"/>
      <protection locked="0"/>
    </xf>
    <xf numFmtId="0" fontId="116" fillId="0" borderId="0" xfId="5" applyFont="1" applyFill="1"/>
    <xf numFmtId="0" fontId="116" fillId="0" borderId="0" xfId="5" applyFont="1"/>
    <xf numFmtId="0" fontId="1" fillId="0" borderId="0" xfId="5" applyFont="1" applyAlignment="1"/>
    <xf numFmtId="49" fontId="1" fillId="0" borderId="0" xfId="5" applyNumberFormat="1" applyFont="1" applyFill="1" applyProtection="1"/>
    <xf numFmtId="0" fontId="1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1" fillId="2" borderId="0" xfId="7" applyFont="1" applyFill="1" applyAlignment="1" applyProtection="1">
      <alignment vertical="center"/>
      <protection locked="0"/>
    </xf>
    <xf numFmtId="0" fontId="1" fillId="2" borderId="0" xfId="7" applyNumberFormat="1" applyFont="1" applyFill="1" applyBorder="1" applyAlignment="1" applyProtection="1">
      <alignment horizontal="right" vertical="center"/>
      <protection locked="0"/>
    </xf>
    <xf numFmtId="0" fontId="7" fillId="2" borderId="7" xfId="7" applyFont="1" applyFill="1" applyBorder="1" applyAlignment="1" applyProtection="1">
      <alignment horizontal="left" vertical="center"/>
      <protection locked="0"/>
    </xf>
    <xf numFmtId="0" fontId="5" fillId="2" borderId="0" xfId="7" applyNumberFormat="1" applyFont="1" applyFill="1" applyAlignment="1" applyProtection="1">
      <alignment horizontal="right" vertical="center"/>
      <protection locked="0"/>
    </xf>
    <xf numFmtId="0" fontId="7" fillId="2" borderId="7" xfId="7" applyFont="1" applyFill="1" applyBorder="1" applyAlignment="1" applyProtection="1">
      <alignment vertical="center" wrapText="1"/>
      <protection locked="0"/>
    </xf>
    <xf numFmtId="0" fontId="1" fillId="2" borderId="0" xfId="7" applyFont="1" applyFill="1" applyBorder="1" applyAlignment="1" applyProtection="1">
      <alignment vertical="center"/>
      <protection locked="0"/>
    </xf>
    <xf numFmtId="0" fontId="1" fillId="0" borderId="0" xfId="7" applyFont="1" applyFill="1" applyProtection="1">
      <protection locked="0"/>
    </xf>
    <xf numFmtId="0" fontId="1" fillId="0" borderId="0" xfId="7" applyFont="1" applyFill="1" applyAlignment="1" applyProtection="1">
      <alignment vertical="center" wrapText="1"/>
      <protection locked="0"/>
    </xf>
    <xf numFmtId="0" fontId="1" fillId="0" borderId="0" xfId="7" applyFont="1" applyFill="1" applyBorder="1" applyAlignment="1" applyProtection="1">
      <alignment vertical="center"/>
      <protection locked="0"/>
    </xf>
    <xf numFmtId="0" fontId="1" fillId="0" borderId="0" xfId="7" applyFont="1" applyFill="1" applyBorder="1" applyAlignment="1" applyProtection="1">
      <alignment horizontal="left" vertical="center"/>
      <protection locked="0"/>
    </xf>
    <xf numFmtId="0" fontId="4" fillId="0" borderId="0" xfId="4" applyFont="1" applyFill="1" applyAlignment="1" applyProtection="1"/>
    <xf numFmtId="0" fontId="1" fillId="0" borderId="0" xfId="5" quotePrefix="1" applyFont="1" applyFill="1"/>
    <xf numFmtId="0" fontId="4" fillId="0" borderId="0" xfId="4" applyFont="1" applyFill="1" applyAlignment="1" applyProtection="1">
      <protection locked="0"/>
    </xf>
    <xf numFmtId="0" fontId="1" fillId="0" borderId="0" xfId="5" applyFont="1" applyFill="1" applyAlignment="1"/>
    <xf numFmtId="10" fontId="1" fillId="0" borderId="0" xfId="5" applyNumberFormat="1" applyFont="1" applyFill="1"/>
    <xf numFmtId="10" fontId="1" fillId="0" borderId="0" xfId="5" applyNumberFormat="1" applyFont="1" applyFill="1" applyProtection="1"/>
    <xf numFmtId="0" fontId="5" fillId="22" borderId="7" xfId="7" applyFont="1" applyFill="1" applyBorder="1" applyAlignment="1" applyProtection="1">
      <alignment horizontal="center" vertical="center"/>
      <protection locked="0"/>
    </xf>
    <xf numFmtId="0" fontId="5" fillId="22" borderId="27" xfId="7" applyFont="1" applyFill="1" applyBorder="1" applyAlignment="1" applyProtection="1">
      <alignment horizontal="center" vertical="center"/>
      <protection locked="0"/>
    </xf>
    <xf numFmtId="0" fontId="119" fillId="0" borderId="39" xfId="0" applyFont="1" applyFill="1" applyBorder="1" applyAlignment="1" applyProtection="1">
      <alignment horizontal="center"/>
    </xf>
    <xf numFmtId="168" fontId="101" fillId="24" borderId="0" xfId="0" applyNumberFormat="1" applyFont="1" applyFill="1" applyBorder="1" applyAlignment="1" applyProtection="1">
      <alignment horizontal="center" vertical="center"/>
    </xf>
    <xf numFmtId="0" fontId="30" fillId="24" borderId="0" xfId="0" applyFont="1" applyFill="1" applyProtection="1"/>
    <xf numFmtId="168" fontId="7" fillId="0" borderId="38" xfId="1" applyNumberFormat="1" applyFont="1" applyFill="1" applyBorder="1" applyAlignment="1" applyProtection="1">
      <alignment horizontal="left" vertical="center"/>
    </xf>
    <xf numFmtId="164" fontId="7" fillId="0" borderId="39" xfId="2" applyFont="1" applyBorder="1" applyAlignment="1" applyProtection="1">
      <alignment horizontal="left" vertical="center"/>
    </xf>
    <xf numFmtId="164" fontId="7" fillId="0" borderId="39" xfId="2" applyFont="1" applyBorder="1" applyAlignment="1" applyProtection="1">
      <alignment horizontal="right" vertical="center"/>
    </xf>
    <xf numFmtId="0" fontId="7" fillId="0" borderId="40" xfId="0" applyFont="1" applyBorder="1" applyAlignment="1" applyProtection="1">
      <alignment horizontal="left" vertical="center"/>
    </xf>
    <xf numFmtId="0" fontId="83" fillId="22" borderId="0" xfId="0" applyFont="1" applyFill="1" applyBorder="1" applyAlignment="1" applyProtection="1">
      <alignment vertical="center"/>
    </xf>
    <xf numFmtId="168" fontId="7" fillId="0" borderId="47" xfId="1" applyNumberFormat="1" applyFont="1" applyFill="1" applyBorder="1" applyAlignment="1" applyProtection="1">
      <alignment horizontal="left" vertical="center"/>
    </xf>
    <xf numFmtId="164" fontId="7" fillId="0" borderId="48" xfId="2" applyFont="1" applyBorder="1" applyAlignment="1" applyProtection="1">
      <alignment horizontal="left" vertical="center"/>
    </xf>
    <xf numFmtId="0" fontId="7" fillId="0" borderId="40" xfId="0" applyFont="1" applyFill="1" applyBorder="1" applyAlignment="1" applyProtection="1">
      <alignment horizontal="left" vertical="center"/>
    </xf>
    <xf numFmtId="168" fontId="83" fillId="22" borderId="0" xfId="1" applyNumberFormat="1" applyFont="1" applyFill="1" applyBorder="1" applyAlignment="1" applyProtection="1">
      <alignment horizontal="left" vertical="center"/>
    </xf>
    <xf numFmtId="164" fontId="83" fillId="22" borderId="0" xfId="2" applyFont="1" applyFill="1" applyBorder="1" applyAlignment="1" applyProtection="1">
      <alignment horizontal="left" vertical="center"/>
    </xf>
    <xf numFmtId="164" fontId="83" fillId="22" borderId="0" xfId="2" applyFont="1" applyFill="1" applyBorder="1" applyAlignment="1" applyProtection="1">
      <alignment horizontal="right" vertical="center"/>
    </xf>
    <xf numFmtId="0" fontId="83" fillId="22" borderId="0" xfId="0" applyFont="1" applyFill="1" applyBorder="1" applyAlignment="1" applyProtection="1">
      <alignment horizontal="left" vertical="center"/>
    </xf>
    <xf numFmtId="168" fontId="84" fillId="22" borderId="0" xfId="1" applyNumberFormat="1" applyFont="1" applyFill="1" applyBorder="1" applyAlignment="1" applyProtection="1">
      <alignment horizontal="left" vertical="center"/>
    </xf>
    <xf numFmtId="164" fontId="84" fillId="22" borderId="0" xfId="2" applyFont="1" applyFill="1" applyBorder="1" applyAlignment="1" applyProtection="1">
      <alignment horizontal="left" vertical="center"/>
    </xf>
    <xf numFmtId="164" fontId="84" fillId="22" borderId="0" xfId="2" applyFont="1" applyFill="1" applyBorder="1" applyAlignment="1" applyProtection="1">
      <alignment horizontal="right" vertical="center"/>
    </xf>
    <xf numFmtId="0" fontId="84" fillId="22" borderId="0" xfId="0" applyFont="1" applyFill="1" applyBorder="1" applyAlignment="1" applyProtection="1">
      <alignment horizontal="left" vertical="center"/>
    </xf>
    <xf numFmtId="0" fontId="84" fillId="22" borderId="0" xfId="0" applyFont="1" applyFill="1" applyBorder="1" applyAlignment="1" applyProtection="1">
      <alignment vertical="center"/>
    </xf>
    <xf numFmtId="0" fontId="38" fillId="22" borderId="0" xfId="0" applyFont="1" applyFill="1" applyAlignment="1" applyProtection="1">
      <alignment vertical="center"/>
    </xf>
    <xf numFmtId="164" fontId="7" fillId="0" borderId="48" xfId="2" applyFont="1" applyBorder="1" applyAlignment="1" applyProtection="1">
      <alignment horizontal="right" vertical="center"/>
    </xf>
    <xf numFmtId="0" fontId="7" fillId="0" borderId="49" xfId="0" applyFont="1" applyBorder="1" applyAlignment="1" applyProtection="1">
      <alignment horizontal="left" vertical="center"/>
    </xf>
    <xf numFmtId="0" fontId="7" fillId="22" borderId="0" xfId="0" applyFont="1" applyFill="1" applyBorder="1" applyAlignment="1" applyProtection="1">
      <alignment vertical="center"/>
    </xf>
    <xf numFmtId="164" fontId="7" fillId="22" borderId="0" xfId="2" applyFont="1" applyFill="1" applyBorder="1" applyAlignment="1" applyProtection="1">
      <alignment horizontal="center" vertical="center"/>
    </xf>
    <xf numFmtId="0" fontId="38" fillId="22" borderId="0" xfId="0" applyFont="1" applyFill="1" applyBorder="1" applyAlignment="1" applyProtection="1">
      <alignment vertical="center"/>
    </xf>
    <xf numFmtId="0" fontId="38" fillId="0" borderId="0" xfId="0" applyFont="1" applyBorder="1" applyAlignment="1" applyProtection="1">
      <alignment vertical="center"/>
    </xf>
    <xf numFmtId="0" fontId="38" fillId="0" borderId="0" xfId="0" applyFont="1" applyAlignment="1" applyProtection="1">
      <alignment vertical="center"/>
    </xf>
    <xf numFmtId="164" fontId="7" fillId="0" borderId="48" xfId="2" applyFont="1" applyFill="1" applyBorder="1" applyAlignment="1" applyProtection="1">
      <alignment horizontal="left" vertical="center"/>
    </xf>
    <xf numFmtId="164" fontId="7" fillId="0" borderId="48" xfId="2" applyFont="1" applyFill="1" applyBorder="1" applyAlignment="1" applyProtection="1">
      <alignment horizontal="right" vertical="center"/>
    </xf>
    <xf numFmtId="0" fontId="7" fillId="0" borderId="49" xfId="0" applyFont="1" applyFill="1" applyBorder="1" applyAlignment="1" applyProtection="1">
      <alignment horizontal="left" vertical="center"/>
    </xf>
    <xf numFmtId="164" fontId="83" fillId="22" borderId="0" xfId="2" applyFont="1" applyFill="1" applyBorder="1" applyAlignment="1" applyProtection="1">
      <alignment horizontal="center" vertical="center"/>
    </xf>
    <xf numFmtId="0" fontId="83" fillId="22" borderId="0" xfId="2" applyNumberFormat="1" applyFont="1" applyFill="1" applyBorder="1" applyAlignment="1" applyProtection="1">
      <alignment horizontal="left" vertical="center"/>
    </xf>
    <xf numFmtId="168" fontId="7" fillId="0" borderId="47" xfId="1" applyNumberFormat="1" applyFont="1" applyFill="1" applyBorder="1" applyAlignment="1" applyProtection="1">
      <alignment horizontal="right" vertical="center"/>
    </xf>
    <xf numFmtId="168" fontId="7" fillId="0" borderId="31" xfId="1" applyNumberFormat="1" applyFont="1" applyFill="1" applyBorder="1" applyAlignment="1" applyProtection="1">
      <alignment horizontal="left" vertical="center"/>
    </xf>
    <xf numFmtId="164" fontId="7" fillId="0" borderId="0" xfId="2" applyFont="1" applyBorder="1" applyAlignment="1" applyProtection="1">
      <alignment horizontal="left" vertical="center"/>
    </xf>
    <xf numFmtId="164" fontId="7" fillId="0" borderId="0" xfId="2" applyFont="1" applyBorder="1" applyAlignment="1" applyProtection="1">
      <alignment horizontal="right" vertical="center"/>
    </xf>
    <xf numFmtId="0" fontId="7" fillId="0" borderId="0" xfId="0" applyFont="1" applyBorder="1" applyAlignment="1" applyProtection="1">
      <alignment horizontal="left" vertical="center"/>
    </xf>
    <xf numFmtId="0" fontId="83" fillId="22" borderId="92" xfId="0" applyFont="1" applyFill="1" applyBorder="1" applyAlignment="1" applyProtection="1">
      <alignment vertical="center"/>
    </xf>
    <xf numFmtId="168" fontId="7" fillId="0" borderId="0" xfId="1" applyNumberFormat="1" applyFont="1" applyFill="1" applyBorder="1" applyAlignment="1" applyProtection="1">
      <alignment horizontal="left" vertical="center"/>
    </xf>
    <xf numFmtId="164" fontId="7" fillId="0" borderId="0" xfId="2" applyFont="1" applyFill="1" applyBorder="1" applyAlignment="1" applyProtection="1">
      <alignment horizontal="left" vertical="center"/>
    </xf>
    <xf numFmtId="164" fontId="7" fillId="0" borderId="0" xfId="2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left" vertical="center"/>
    </xf>
    <xf numFmtId="0" fontId="38" fillId="22" borderId="36" xfId="0" applyFont="1" applyFill="1" applyBorder="1" applyAlignment="1" applyProtection="1">
      <alignment vertical="center"/>
    </xf>
    <xf numFmtId="168" fontId="7" fillId="6" borderId="47" xfId="1" applyNumberFormat="1" applyFont="1" applyFill="1" applyBorder="1" applyAlignment="1" applyProtection="1">
      <alignment horizontal="left" vertical="center"/>
    </xf>
    <xf numFmtId="164" fontId="7" fillId="6" borderId="48" xfId="2" applyFont="1" applyFill="1" applyBorder="1" applyAlignment="1" applyProtection="1">
      <alignment horizontal="left" vertical="center"/>
    </xf>
    <xf numFmtId="164" fontId="7" fillId="6" borderId="48" xfId="2" applyFont="1" applyFill="1" applyBorder="1" applyAlignment="1" applyProtection="1">
      <alignment horizontal="right" vertical="center"/>
    </xf>
    <xf numFmtId="0" fontId="7" fillId="6" borderId="49" xfId="0" applyFont="1" applyFill="1" applyBorder="1" applyAlignment="1" applyProtection="1">
      <alignment horizontal="left" vertical="center"/>
    </xf>
    <xf numFmtId="164" fontId="7" fillId="0" borderId="39" xfId="2" applyFont="1" applyFill="1" applyBorder="1" applyAlignment="1" applyProtection="1">
      <alignment horizontal="left" vertical="center"/>
    </xf>
    <xf numFmtId="164" fontId="7" fillId="0" borderId="39" xfId="2" applyFont="1" applyFill="1" applyBorder="1" applyAlignment="1" applyProtection="1">
      <alignment horizontal="right" vertical="center"/>
    </xf>
    <xf numFmtId="168" fontId="83" fillId="22" borderId="0" xfId="2" applyNumberFormat="1" applyFont="1" applyFill="1" applyBorder="1" applyAlignment="1" applyProtection="1">
      <alignment horizontal="center" vertical="center"/>
    </xf>
    <xf numFmtId="0" fontId="85" fillId="22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168" fontId="2" fillId="0" borderId="47" xfId="1" applyNumberFormat="1" applyFont="1" applyFill="1" applyBorder="1" applyAlignment="1" applyProtection="1">
      <alignment horizontal="left" vertical="center"/>
    </xf>
    <xf numFmtId="164" fontId="2" fillId="0" borderId="48" xfId="2" applyFont="1" applyFill="1" applyBorder="1" applyAlignment="1" applyProtection="1">
      <alignment horizontal="left" vertical="center"/>
    </xf>
    <xf numFmtId="164" fontId="2" fillId="0" borderId="48" xfId="2" applyFont="1" applyFill="1" applyBorder="1" applyAlignment="1" applyProtection="1">
      <alignment horizontal="right" vertical="center"/>
    </xf>
    <xf numFmtId="0" fontId="2" fillId="6" borderId="49" xfId="0" applyFont="1" applyFill="1" applyBorder="1" applyAlignment="1" applyProtection="1">
      <alignment horizontal="left" vertical="center"/>
    </xf>
    <xf numFmtId="1" fontId="53" fillId="22" borderId="0" xfId="0" applyNumberFormat="1" applyFont="1" applyFill="1" applyBorder="1" applyAlignment="1" applyProtection="1">
      <alignment horizontal="center" vertical="center"/>
    </xf>
    <xf numFmtId="168" fontId="1" fillId="10" borderId="7" xfId="7" applyNumberFormat="1" applyFont="1" applyFill="1" applyBorder="1" applyAlignment="1" applyProtection="1">
      <alignment horizontal="right" vertical="center"/>
    </xf>
    <xf numFmtId="0" fontId="1" fillId="0" borderId="0" xfId="7" applyNumberFormat="1" applyFont="1" applyFill="1" applyAlignment="1" applyProtection="1">
      <alignment horizontal="center"/>
      <protection locked="0"/>
    </xf>
    <xf numFmtId="166" fontId="41" fillId="23" borderId="24" xfId="0" applyNumberFormat="1" applyFont="1" applyFill="1" applyBorder="1" applyAlignment="1"/>
    <xf numFmtId="0" fontId="7" fillId="2" borderId="29" xfId="7" applyFont="1" applyFill="1" applyBorder="1" applyAlignment="1" applyProtection="1">
      <alignment horizontal="left" vertical="center"/>
      <protection locked="0"/>
    </xf>
    <xf numFmtId="0" fontId="7" fillId="2" borderId="27" xfId="7" applyFont="1" applyFill="1" applyBorder="1" applyAlignment="1" applyProtection="1">
      <alignment horizontal="right" vertical="center"/>
      <protection locked="0"/>
    </xf>
    <xf numFmtId="0" fontId="121" fillId="12" borderId="7" xfId="7" applyFont="1" applyFill="1" applyBorder="1" applyAlignment="1" applyProtection="1">
      <protection locked="0"/>
    </xf>
    <xf numFmtId="0" fontId="73" fillId="12" borderId="7" xfId="7" applyFont="1" applyFill="1" applyBorder="1" applyAlignment="1" applyProtection="1">
      <alignment horizontal="right" vertical="center"/>
      <protection locked="0" hidden="1"/>
    </xf>
    <xf numFmtId="0" fontId="121" fillId="12" borderId="7" xfId="7" applyFont="1" applyFill="1" applyBorder="1" applyAlignment="1" applyProtection="1">
      <alignment horizontal="left" vertical="center"/>
      <protection locked="0"/>
    </xf>
    <xf numFmtId="167" fontId="52" fillId="25" borderId="7" xfId="0" applyNumberFormat="1" applyFont="1" applyFill="1" applyBorder="1"/>
    <xf numFmtId="0" fontId="43" fillId="25" borderId="7" xfId="0" applyFont="1" applyFill="1" applyBorder="1"/>
    <xf numFmtId="166" fontId="52" fillId="25" borderId="7" xfId="0" applyNumberFormat="1" applyFont="1" applyFill="1" applyBorder="1"/>
    <xf numFmtId="0" fontId="52" fillId="23" borderId="7" xfId="0" applyFont="1" applyFill="1" applyBorder="1" applyAlignment="1">
      <alignment horizontal="left"/>
    </xf>
    <xf numFmtId="166" fontId="41" fillId="23" borderId="25" xfId="0" applyNumberFormat="1" applyFont="1" applyFill="1" applyBorder="1" applyAlignment="1"/>
    <xf numFmtId="166" fontId="41" fillId="6" borderId="0" xfId="0" applyNumberFormat="1" applyFont="1" applyFill="1" applyBorder="1"/>
    <xf numFmtId="1" fontId="1" fillId="2" borderId="0" xfId="7" applyNumberFormat="1" applyFont="1" applyFill="1" applyAlignment="1" applyProtection="1">
      <alignment horizontal="left"/>
      <protection locked="0"/>
    </xf>
    <xf numFmtId="168" fontId="5" fillId="10" borderId="7" xfId="7" applyNumberFormat="1" applyFont="1" applyFill="1" applyBorder="1" applyAlignment="1" applyProtection="1">
      <alignment horizontal="right" vertical="center"/>
    </xf>
    <xf numFmtId="0" fontId="101" fillId="24" borderId="0" xfId="0" applyFont="1" applyFill="1" applyBorder="1" applyAlignment="1" applyProtection="1">
      <alignment horizontal="left" vertical="center"/>
    </xf>
    <xf numFmtId="0" fontId="4" fillId="0" borderId="0" xfId="4" applyFill="1" applyAlignment="1" applyProtection="1"/>
    <xf numFmtId="168" fontId="101" fillId="24" borderId="0" xfId="0" applyNumberFormat="1" applyFont="1" applyFill="1" applyBorder="1" applyAlignment="1" applyProtection="1">
      <alignment horizontal="center" vertical="center"/>
    </xf>
    <xf numFmtId="0" fontId="30" fillId="24" borderId="0" xfId="0" applyFont="1" applyFill="1" applyAlignment="1" applyProtection="1">
      <alignment horizontal="center" vertical="center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21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101" fillId="24" borderId="0" xfId="0" applyFont="1" applyFill="1" applyBorder="1" applyAlignment="1" applyProtection="1">
      <alignment horizontal="right" vertical="center" indent="1"/>
    </xf>
    <xf numFmtId="0" fontId="104" fillId="24" borderId="0" xfId="0" applyFont="1" applyFill="1" applyAlignment="1">
      <alignment horizontal="right" vertical="center" indent="1"/>
    </xf>
    <xf numFmtId="0" fontId="104" fillId="24" borderId="95" xfId="0" applyFont="1" applyFill="1" applyBorder="1" applyAlignment="1">
      <alignment horizontal="right" vertical="center" indent="1"/>
    </xf>
    <xf numFmtId="0" fontId="101" fillId="12" borderId="39" xfId="0" applyFont="1" applyFill="1" applyBorder="1" applyAlignment="1" applyProtection="1">
      <alignment horizontal="center" vertical="center"/>
    </xf>
    <xf numFmtId="0" fontId="104" fillId="12" borderId="39" xfId="0" applyFont="1" applyFill="1" applyBorder="1" applyAlignment="1" applyProtection="1">
      <alignment horizontal="center" vertical="center"/>
    </xf>
    <xf numFmtId="0" fontId="109" fillId="22" borderId="0" xfId="0" applyFont="1" applyFill="1" applyBorder="1" applyAlignment="1" applyProtection="1">
      <alignment horizontal="left" vertical="top" wrapText="1" indent="4"/>
    </xf>
    <xf numFmtId="0" fontId="110" fillId="22" borderId="0" xfId="0" applyFont="1" applyFill="1" applyBorder="1" applyAlignment="1">
      <alignment horizontal="left" wrapText="1" indent="4"/>
    </xf>
    <xf numFmtId="49" fontId="111" fillId="22" borderId="0" xfId="0" applyNumberFormat="1" applyFont="1" applyFill="1" applyBorder="1" applyAlignment="1" applyProtection="1">
      <alignment horizontal="left" vertical="top" wrapText="1" indent="4"/>
    </xf>
    <xf numFmtId="0" fontId="109" fillId="22" borderId="0" xfId="0" applyFont="1" applyFill="1" applyBorder="1" applyAlignment="1" applyProtection="1">
      <alignment horizontal="left" vertical="top" wrapText="1" indent="4" shrinkToFit="1" readingOrder="1"/>
    </xf>
    <xf numFmtId="0" fontId="110" fillId="22" borderId="0" xfId="0" applyFont="1" applyFill="1" applyBorder="1" applyAlignment="1">
      <alignment horizontal="left" wrapText="1" indent="4" readingOrder="1"/>
    </xf>
    <xf numFmtId="49" fontId="109" fillId="22" borderId="0" xfId="0" applyNumberFormat="1" applyFont="1" applyFill="1" applyBorder="1" applyAlignment="1" applyProtection="1">
      <alignment horizontal="left" vertical="top" wrapText="1" indent="4"/>
    </xf>
    <xf numFmtId="0" fontId="110" fillId="22" borderId="0" xfId="0" applyFont="1" applyFill="1" applyBorder="1" applyAlignment="1">
      <alignment horizontal="left" vertical="top" wrapText="1" indent="4"/>
    </xf>
    <xf numFmtId="0" fontId="102" fillId="22" borderId="47" xfId="0" applyFont="1" applyFill="1" applyBorder="1" applyAlignment="1" applyProtection="1">
      <alignment horizontal="center" vertical="center"/>
      <protection locked="0"/>
    </xf>
    <xf numFmtId="0" fontId="102" fillId="22" borderId="48" xfId="0" applyFont="1" applyFill="1" applyBorder="1" applyAlignment="1" applyProtection="1">
      <alignment horizontal="center" vertical="center"/>
      <protection locked="0"/>
    </xf>
    <xf numFmtId="0" fontId="102" fillId="22" borderId="49" xfId="0" applyFont="1" applyFill="1" applyBorder="1" applyAlignment="1" applyProtection="1">
      <alignment horizontal="center" vertical="center"/>
      <protection locked="0"/>
    </xf>
    <xf numFmtId="0" fontId="4" fillId="22" borderId="47" xfId="4" applyFill="1" applyBorder="1" applyAlignment="1" applyProtection="1">
      <alignment horizontal="center" vertical="center"/>
      <protection locked="0"/>
    </xf>
    <xf numFmtId="0" fontId="102" fillId="22" borderId="48" xfId="0" applyFont="1" applyFill="1" applyBorder="1" applyAlignment="1">
      <alignment horizontal="center" vertical="center"/>
    </xf>
    <xf numFmtId="0" fontId="102" fillId="22" borderId="49" xfId="0" applyFont="1" applyFill="1" applyBorder="1" applyAlignment="1">
      <alignment horizontal="center" vertical="center"/>
    </xf>
    <xf numFmtId="0" fontId="103" fillId="22" borderId="47" xfId="0" applyFont="1" applyFill="1" applyBorder="1" applyAlignment="1" applyProtection="1">
      <alignment horizontal="left" vertical="center" indent="1"/>
      <protection locked="0"/>
    </xf>
    <xf numFmtId="0" fontId="103" fillId="22" borderId="48" xfId="0" applyFont="1" applyFill="1" applyBorder="1" applyAlignment="1" applyProtection="1">
      <alignment horizontal="left" vertical="center" indent="1"/>
      <protection locked="0"/>
    </xf>
    <xf numFmtId="0" fontId="103" fillId="22" borderId="49" xfId="0" applyFont="1" applyFill="1" applyBorder="1" applyAlignment="1" applyProtection="1">
      <alignment horizontal="left" vertical="center" indent="1"/>
      <protection locked="0"/>
    </xf>
    <xf numFmtId="0" fontId="127" fillId="22" borderId="47" xfId="0" applyFont="1" applyFill="1" applyBorder="1" applyAlignment="1" applyProtection="1">
      <alignment horizontal="center" vertical="center"/>
      <protection locked="0"/>
    </xf>
    <xf numFmtId="0" fontId="127" fillId="22" borderId="48" xfId="0" applyFont="1" applyFill="1" applyBorder="1" applyAlignment="1" applyProtection="1">
      <alignment horizontal="center" vertical="center"/>
      <protection locked="0"/>
    </xf>
    <xf numFmtId="0" fontId="127" fillId="22" borderId="49" xfId="0" applyFont="1" applyFill="1" applyBorder="1" applyAlignment="1" applyProtection="1">
      <alignment horizontal="center" vertical="center"/>
      <protection locked="0"/>
    </xf>
    <xf numFmtId="0" fontId="128" fillId="22" borderId="47" xfId="0" applyFont="1" applyFill="1" applyBorder="1" applyAlignment="1" applyProtection="1">
      <alignment horizontal="center" vertical="center"/>
      <protection locked="0"/>
    </xf>
    <xf numFmtId="0" fontId="128" fillId="22" borderId="48" xfId="0" applyFont="1" applyFill="1" applyBorder="1" applyAlignment="1">
      <alignment horizontal="center" vertical="center"/>
    </xf>
    <xf numFmtId="0" fontId="128" fillId="22" borderId="49" xfId="0" applyFont="1" applyFill="1" applyBorder="1" applyAlignment="1">
      <alignment horizontal="center" vertical="center"/>
    </xf>
    <xf numFmtId="0" fontId="80" fillId="0" borderId="49" xfId="0" applyFont="1" applyBorder="1" applyAlignment="1">
      <alignment horizontal="right" vertical="center" indent="1"/>
    </xf>
    <xf numFmtId="0" fontId="35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 textRotation="90"/>
    </xf>
    <xf numFmtId="0" fontId="75" fillId="12" borderId="26" xfId="4" applyFont="1" applyFill="1" applyBorder="1" applyAlignment="1" applyProtection="1">
      <alignment horizontal="center" vertical="center"/>
    </xf>
    <xf numFmtId="0" fontId="75" fillId="12" borderId="0" xfId="4" applyFont="1" applyFill="1" applyBorder="1" applyAlignment="1" applyProtection="1">
      <alignment horizontal="center" vertical="center"/>
    </xf>
    <xf numFmtId="0" fontId="75" fillId="12" borderId="0" xfId="4" applyFont="1" applyFill="1" applyBorder="1" applyAlignment="1" applyProtection="1">
      <alignment horizontal="center" vertical="center" wrapText="1"/>
    </xf>
    <xf numFmtId="0" fontId="79" fillId="21" borderId="41" xfId="0" applyNumberFormat="1" applyFont="1" applyFill="1" applyBorder="1" applyAlignment="1" applyProtection="1">
      <alignment horizontal="center" vertical="center"/>
    </xf>
    <xf numFmtId="0" fontId="79" fillId="21" borderId="42" xfId="0" applyNumberFormat="1" applyFont="1" applyFill="1" applyBorder="1" applyAlignment="1" applyProtection="1">
      <alignment horizontal="center" vertical="center"/>
    </xf>
    <xf numFmtId="0" fontId="83" fillId="21" borderId="45" xfId="0" applyFont="1" applyFill="1" applyBorder="1" applyAlignment="1">
      <alignment horizontal="center" vertical="center"/>
    </xf>
    <xf numFmtId="0" fontId="83" fillId="21" borderId="46" xfId="0" applyFont="1" applyFill="1" applyBorder="1" applyAlignment="1">
      <alignment horizontal="center" vertical="center"/>
    </xf>
    <xf numFmtId="0" fontId="83" fillId="21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79" fillId="21" borderId="43" xfId="0" applyNumberFormat="1" applyFont="1" applyFill="1" applyBorder="1" applyAlignment="1" applyProtection="1">
      <alignment horizontal="center"/>
    </xf>
    <xf numFmtId="0" fontId="79" fillId="21" borderId="0" xfId="0" applyNumberFormat="1" applyFont="1" applyFill="1" applyBorder="1" applyAlignment="1" applyProtection="1">
      <alignment horizontal="center"/>
    </xf>
    <xf numFmtId="0" fontId="79" fillId="21" borderId="44" xfId="0" applyNumberFormat="1" applyFont="1" applyFill="1" applyBorder="1" applyAlignment="1" applyProtection="1">
      <alignment horizontal="center"/>
    </xf>
    <xf numFmtId="0" fontId="79" fillId="21" borderId="51" xfId="0" applyNumberFormat="1" applyFont="1" applyFill="1" applyBorder="1" applyAlignment="1" applyProtection="1">
      <alignment horizontal="center"/>
    </xf>
    <xf numFmtId="0" fontId="82" fillId="22" borderId="80" xfId="0" applyFont="1" applyFill="1" applyBorder="1" applyAlignment="1" applyProtection="1">
      <alignment horizontal="center"/>
      <protection locked="0"/>
    </xf>
    <xf numFmtId="0" fontId="82" fillId="22" borderId="77" xfId="0" applyFont="1" applyFill="1" applyBorder="1" applyAlignment="1" applyProtection="1">
      <alignment horizontal="center"/>
      <protection locked="0"/>
    </xf>
    <xf numFmtId="0" fontId="85" fillId="22" borderId="0" xfId="0" applyFont="1" applyFill="1" applyBorder="1" applyAlignment="1" applyProtection="1">
      <alignment horizontal="center"/>
      <protection locked="0"/>
    </xf>
    <xf numFmtId="168" fontId="83" fillId="0" borderId="57" xfId="2" applyNumberFormat="1" applyFont="1" applyFill="1" applyBorder="1" applyAlignment="1" applyProtection="1">
      <alignment horizontal="center"/>
    </xf>
    <xf numFmtId="168" fontId="83" fillId="0" borderId="59" xfId="2" applyNumberFormat="1" applyFont="1" applyFill="1" applyBorder="1" applyAlignment="1" applyProtection="1">
      <alignment horizontal="center"/>
    </xf>
    <xf numFmtId="168" fontId="79" fillId="0" borderId="73" xfId="2" applyNumberFormat="1" applyFont="1" applyFill="1" applyBorder="1" applyAlignment="1" applyProtection="1">
      <alignment horizontal="center"/>
    </xf>
    <xf numFmtId="168" fontId="79" fillId="0" borderId="74" xfId="2" applyNumberFormat="1" applyFont="1" applyFill="1" applyBorder="1" applyAlignment="1" applyProtection="1">
      <alignment horizontal="center"/>
    </xf>
    <xf numFmtId="168" fontId="79" fillId="0" borderId="73" xfId="2" applyNumberFormat="1" applyFont="1" applyBorder="1" applyAlignment="1" applyProtection="1">
      <alignment horizontal="center"/>
    </xf>
    <xf numFmtId="168" fontId="79" fillId="0" borderId="74" xfId="2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22" borderId="0" xfId="0" applyNumberFormat="1" applyFont="1" applyFill="1" applyBorder="1" applyAlignment="1" applyProtection="1">
      <alignment horizontal="center"/>
    </xf>
    <xf numFmtId="0" fontId="79" fillId="22" borderId="0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2" fillId="22" borderId="6" xfId="0" applyFont="1" applyFill="1" applyBorder="1" applyAlignment="1" applyProtection="1">
      <alignment horizontal="center"/>
      <protection locked="0"/>
    </xf>
    <xf numFmtId="0" fontId="82" fillId="22" borderId="104" xfId="0" applyFont="1" applyFill="1" applyBorder="1" applyAlignment="1" applyProtection="1">
      <alignment horizontal="center"/>
      <protection locked="0"/>
    </xf>
    <xf numFmtId="0" fontId="79" fillId="21" borderId="57" xfId="0" applyNumberFormat="1" applyFont="1" applyFill="1" applyBorder="1" applyAlignment="1" applyProtection="1">
      <alignment horizontal="center"/>
    </xf>
    <xf numFmtId="0" fontId="79" fillId="21" borderId="58" xfId="0" applyNumberFormat="1" applyFont="1" applyFill="1" applyBorder="1" applyAlignment="1" applyProtection="1">
      <alignment horizontal="center"/>
    </xf>
    <xf numFmtId="0" fontId="79" fillId="21" borderId="59" xfId="0" applyNumberFormat="1" applyFont="1" applyFill="1" applyBorder="1" applyAlignment="1" applyProtection="1">
      <alignment horizontal="center"/>
    </xf>
    <xf numFmtId="0" fontId="84" fillId="12" borderId="27" xfId="0" applyFont="1" applyFill="1" applyBorder="1" applyAlignment="1" applyProtection="1">
      <alignment horizontal="center" wrapText="1"/>
    </xf>
    <xf numFmtId="0" fontId="84" fillId="12" borderId="28" xfId="0" applyFont="1" applyFill="1" applyBorder="1" applyAlignment="1" applyProtection="1">
      <alignment horizontal="center" wrapText="1"/>
    </xf>
    <xf numFmtId="0" fontId="84" fillId="12" borderId="29" xfId="0" applyFont="1" applyFill="1" applyBorder="1" applyAlignment="1" applyProtection="1">
      <alignment horizontal="center" wrapText="1"/>
    </xf>
    <xf numFmtId="168" fontId="79" fillId="0" borderId="60" xfId="2" applyNumberFormat="1" applyFont="1" applyFill="1" applyBorder="1" applyAlignment="1" applyProtection="1">
      <alignment horizontal="center"/>
    </xf>
    <xf numFmtId="168" fontId="79" fillId="0" borderId="62" xfId="2" applyNumberFormat="1" applyFont="1" applyFill="1" applyBorder="1" applyAlignment="1" applyProtection="1">
      <alignment horizontal="center"/>
    </xf>
    <xf numFmtId="0" fontId="84" fillId="12" borderId="27" xfId="0" applyFont="1" applyFill="1" applyBorder="1" applyAlignment="1" applyProtection="1">
      <alignment horizontal="center" vertical="center" wrapText="1"/>
    </xf>
    <xf numFmtId="0" fontId="84" fillId="12" borderId="28" xfId="0" applyFont="1" applyFill="1" applyBorder="1" applyAlignment="1" applyProtection="1">
      <alignment horizontal="center" vertical="center" wrapText="1"/>
    </xf>
    <xf numFmtId="0" fontId="84" fillId="12" borderId="29" xfId="0" applyFont="1" applyFill="1" applyBorder="1" applyAlignment="1" applyProtection="1">
      <alignment horizontal="center" vertical="center" wrapText="1"/>
    </xf>
    <xf numFmtId="0" fontId="79" fillId="21" borderId="60" xfId="0" applyNumberFormat="1" applyFont="1" applyFill="1" applyBorder="1" applyAlignment="1" applyProtection="1">
      <alignment horizontal="center"/>
    </xf>
    <xf numFmtId="0" fontId="79" fillId="21" borderId="61" xfId="0" applyNumberFormat="1" applyFont="1" applyFill="1" applyBorder="1" applyAlignment="1" applyProtection="1">
      <alignment horizontal="center"/>
    </xf>
    <xf numFmtId="0" fontId="79" fillId="21" borderId="62" xfId="0" applyNumberFormat="1" applyFont="1" applyFill="1" applyBorder="1" applyAlignment="1" applyProtection="1">
      <alignment horizont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8" fontId="79" fillId="0" borderId="38" xfId="2" applyNumberFormat="1" applyFont="1" applyBorder="1" applyAlignment="1" applyProtection="1">
      <alignment horizontal="center"/>
    </xf>
    <xf numFmtId="168" fontId="79" fillId="0" borderId="40" xfId="2" applyNumberFormat="1" applyFont="1" applyBorder="1" applyAlignment="1" applyProtection="1">
      <alignment horizontal="center"/>
    </xf>
    <xf numFmtId="0" fontId="82" fillId="22" borderId="0" xfId="0" applyFont="1" applyFill="1" applyBorder="1" applyAlignment="1" applyProtection="1">
      <alignment horizontal="center"/>
      <protection locked="0"/>
    </xf>
    <xf numFmtId="0" fontId="82" fillId="22" borderId="95" xfId="0" applyFont="1" applyFill="1" applyBorder="1" applyAlignment="1" applyProtection="1">
      <alignment horizontal="center"/>
      <protection locked="0"/>
    </xf>
    <xf numFmtId="168" fontId="79" fillId="0" borderId="38" xfId="3" applyNumberFormat="1" applyFont="1" applyBorder="1" applyAlignment="1" applyProtection="1">
      <alignment horizontal="center"/>
    </xf>
    <xf numFmtId="168" fontId="79" fillId="0" borderId="40" xfId="3" applyNumberFormat="1" applyFont="1" applyBorder="1" applyAlignment="1" applyProtection="1">
      <alignment horizontal="center"/>
    </xf>
    <xf numFmtId="0" fontId="79" fillId="21" borderId="33" xfId="0" applyNumberFormat="1" applyFont="1" applyFill="1" applyBorder="1" applyAlignment="1" applyProtection="1">
      <alignment horizontal="center"/>
    </xf>
    <xf numFmtId="0" fontId="79" fillId="21" borderId="34" xfId="0" applyNumberFormat="1" applyFont="1" applyFill="1" applyBorder="1" applyAlignment="1" applyProtection="1">
      <alignment horizontal="center"/>
    </xf>
    <xf numFmtId="0" fontId="79" fillId="21" borderId="35" xfId="0" applyNumberFormat="1" applyFont="1" applyFill="1" applyBorder="1" applyAlignment="1" applyProtection="1">
      <alignment horizontal="center"/>
    </xf>
    <xf numFmtId="0" fontId="84" fillId="12" borderId="3" xfId="0" applyFont="1" applyFill="1" applyBorder="1" applyAlignment="1" applyProtection="1">
      <alignment horizontal="center" vertical="center" wrapText="1"/>
    </xf>
    <xf numFmtId="0" fontId="84" fillId="12" borderId="4" xfId="0" applyFont="1" applyFill="1" applyBorder="1" applyAlignment="1" applyProtection="1">
      <alignment horizontal="center" vertical="center" wrapText="1"/>
    </xf>
    <xf numFmtId="0" fontId="84" fillId="12" borderId="2" xfId="0" applyFont="1" applyFill="1" applyBorder="1" applyAlignment="1" applyProtection="1">
      <alignment horizontal="center" wrapText="1"/>
    </xf>
    <xf numFmtId="0" fontId="84" fillId="12" borderId="3" xfId="0" applyFont="1" applyFill="1" applyBorder="1" applyAlignment="1" applyProtection="1">
      <alignment horizontal="center" wrapText="1"/>
    </xf>
    <xf numFmtId="0" fontId="84" fillId="12" borderId="4" xfId="0" applyFont="1" applyFill="1" applyBorder="1" applyAlignment="1" applyProtection="1">
      <alignment horizontal="center" wrapText="1"/>
    </xf>
    <xf numFmtId="168" fontId="79" fillId="0" borderId="73" xfId="3" applyNumberFormat="1" applyFont="1" applyFill="1" applyBorder="1" applyAlignment="1" applyProtection="1">
      <alignment horizontal="center"/>
    </xf>
    <xf numFmtId="168" fontId="79" fillId="0" borderId="74" xfId="3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79" fillId="0" borderId="38" xfId="2" applyNumberFormat="1" applyFont="1" applyFill="1" applyBorder="1" applyAlignment="1" applyProtection="1">
      <alignment horizontal="center"/>
    </xf>
    <xf numFmtId="168" fontId="79" fillId="0" borderId="39" xfId="2" applyNumberFormat="1" applyFont="1" applyFill="1" applyBorder="1" applyAlignment="1" applyProtection="1">
      <alignment horizontal="center"/>
    </xf>
    <xf numFmtId="0" fontId="79" fillId="21" borderId="47" xfId="0" applyNumberFormat="1" applyFont="1" applyFill="1" applyBorder="1" applyAlignment="1" applyProtection="1">
      <alignment horizontal="center"/>
    </xf>
    <xf numFmtId="0" fontId="79" fillId="21" borderId="48" xfId="0" applyNumberFormat="1" applyFont="1" applyFill="1" applyBorder="1" applyAlignment="1" applyProtection="1">
      <alignment horizontal="center"/>
    </xf>
    <xf numFmtId="0" fontId="79" fillId="21" borderId="49" xfId="0" applyNumberFormat="1" applyFont="1" applyFill="1" applyBorder="1" applyAlignment="1" applyProtection="1">
      <alignment horizontal="center"/>
    </xf>
    <xf numFmtId="0" fontId="80" fillId="0" borderId="32" xfId="0" applyFont="1" applyBorder="1" applyAlignment="1" applyProtection="1">
      <alignment horizontal="right" vertical="center" indent="1"/>
    </xf>
    <xf numFmtId="0" fontId="84" fillId="12" borderId="7" xfId="0" applyFont="1" applyFill="1" applyBorder="1" applyAlignment="1" applyProtection="1">
      <alignment horizontal="center" wrapText="1"/>
    </xf>
    <xf numFmtId="0" fontId="84" fillId="12" borderId="23" xfId="0" applyFont="1" applyFill="1" applyBorder="1" applyAlignment="1" applyProtection="1">
      <alignment horizontal="center" wrapText="1"/>
    </xf>
    <xf numFmtId="168" fontId="79" fillId="0" borderId="50" xfId="2" applyNumberFormat="1" applyFont="1" applyBorder="1" applyAlignment="1" applyProtection="1">
      <alignment horizontal="center"/>
    </xf>
    <xf numFmtId="0" fontId="82" fillId="22" borderId="32" xfId="0" applyFont="1" applyFill="1" applyBorder="1" applyAlignment="1" applyProtection="1">
      <alignment horizontal="center"/>
      <protection locked="0"/>
    </xf>
    <xf numFmtId="168" fontId="102" fillId="22" borderId="51" xfId="0" applyNumberFormat="1" applyFont="1" applyFill="1" applyBorder="1" applyAlignment="1">
      <alignment horizontal="right" vertical="center"/>
    </xf>
    <xf numFmtId="168" fontId="102" fillId="22" borderId="32" xfId="2" applyNumberFormat="1" applyFont="1" applyFill="1" applyBorder="1" applyAlignment="1">
      <alignment horizontal="right" vertical="center"/>
    </xf>
    <xf numFmtId="168" fontId="83" fillId="22" borderId="0" xfId="2" applyNumberFormat="1" applyFont="1" applyFill="1" applyBorder="1" applyAlignment="1" applyProtection="1">
      <alignment horizontal="center"/>
    </xf>
    <xf numFmtId="164" fontId="83" fillId="22" borderId="0" xfId="2" applyFont="1" applyFill="1" applyBorder="1" applyAlignment="1" applyProtection="1">
      <alignment horizontal="center"/>
    </xf>
    <xf numFmtId="0" fontId="82" fillId="22" borderId="47" xfId="0" applyFont="1" applyFill="1" applyBorder="1" applyAlignment="1" applyProtection="1">
      <alignment horizontal="center"/>
      <protection locked="0"/>
    </xf>
    <xf numFmtId="0" fontId="82" fillId="22" borderId="49" xfId="0" applyFont="1" applyFill="1" applyBorder="1" applyAlignment="1" applyProtection="1">
      <alignment horizontal="center"/>
      <protection locked="0"/>
    </xf>
    <xf numFmtId="0" fontId="122" fillId="12" borderId="27" xfId="0" applyFont="1" applyFill="1" applyBorder="1" applyAlignment="1" applyProtection="1">
      <alignment horizontal="center" vertical="center" wrapText="1"/>
    </xf>
    <xf numFmtId="0" fontId="124" fillId="12" borderId="28" xfId="0" applyFont="1" applyFill="1" applyBorder="1" applyAlignment="1" applyProtection="1">
      <alignment horizontal="center" vertical="center" wrapText="1"/>
    </xf>
    <xf numFmtId="0" fontId="124" fillId="12" borderId="3" xfId="0" applyFont="1" applyFill="1" applyBorder="1" applyAlignment="1" applyProtection="1">
      <alignment horizontal="center" vertical="center" wrapText="1"/>
    </xf>
    <xf numFmtId="0" fontId="124" fillId="12" borderId="4" xfId="0" applyFont="1" applyFill="1" applyBorder="1" applyAlignment="1" applyProtection="1">
      <alignment horizontal="center" vertical="center" wrapText="1"/>
    </xf>
    <xf numFmtId="0" fontId="84" fillId="22" borderId="0" xfId="0" applyFont="1" applyFill="1" applyBorder="1" applyAlignment="1" applyProtection="1">
      <alignment horizontal="center" vertical="center" wrapText="1"/>
    </xf>
    <xf numFmtId="0" fontId="79" fillId="21" borderId="96" xfId="0" applyNumberFormat="1" applyFont="1" applyFill="1" applyBorder="1" applyAlignment="1" applyProtection="1">
      <alignment horizontal="center"/>
    </xf>
    <xf numFmtId="0" fontId="79" fillId="21" borderId="24" xfId="0" applyNumberFormat="1" applyFont="1" applyFill="1" applyBorder="1" applyAlignment="1" applyProtection="1">
      <alignment horizontal="center"/>
    </xf>
    <xf numFmtId="0" fontId="79" fillId="21" borderId="97" xfId="0" applyNumberFormat="1" applyFont="1" applyFill="1" applyBorder="1" applyAlignment="1" applyProtection="1">
      <alignment horizontal="center"/>
    </xf>
    <xf numFmtId="168" fontId="102" fillId="21" borderId="102" xfId="2" applyNumberFormat="1" applyFont="1" applyFill="1" applyBorder="1" applyAlignment="1" applyProtection="1">
      <alignment horizontal="right" vertical="center"/>
    </xf>
    <xf numFmtId="0" fontId="102" fillId="21" borderId="39" xfId="0" applyFont="1" applyFill="1" applyBorder="1" applyAlignment="1">
      <alignment horizontal="right" vertical="center"/>
    </xf>
    <xf numFmtId="0" fontId="102" fillId="21" borderId="103" xfId="0" applyFont="1" applyFill="1" applyBorder="1" applyAlignment="1">
      <alignment horizontal="right" vertical="center"/>
    </xf>
    <xf numFmtId="168" fontId="102" fillId="22" borderId="33" xfId="2" applyNumberFormat="1" applyFont="1" applyFill="1" applyBorder="1" applyAlignment="1" applyProtection="1">
      <alignment horizontal="right" vertical="center"/>
    </xf>
    <xf numFmtId="168" fontId="102" fillId="22" borderId="34" xfId="0" applyNumberFormat="1" applyFont="1" applyFill="1" applyBorder="1" applyAlignment="1">
      <alignment horizontal="right" vertical="center"/>
    </xf>
    <xf numFmtId="168" fontId="102" fillId="22" borderId="35" xfId="0" applyNumberFormat="1" applyFont="1" applyFill="1" applyBorder="1" applyAlignment="1">
      <alignment horizontal="right" vertical="center"/>
    </xf>
    <xf numFmtId="168" fontId="101" fillId="24" borderId="69" xfId="2" applyNumberFormat="1" applyFont="1" applyFill="1" applyBorder="1" applyAlignment="1" applyProtection="1">
      <alignment horizontal="right" vertical="center"/>
    </xf>
    <xf numFmtId="0" fontId="101" fillId="24" borderId="48" xfId="0" applyFont="1" applyFill="1" applyBorder="1" applyAlignment="1">
      <alignment horizontal="right" vertical="center"/>
    </xf>
    <xf numFmtId="0" fontId="101" fillId="24" borderId="70" xfId="0" applyFont="1" applyFill="1" applyBorder="1" applyAlignment="1">
      <alignment horizontal="right" vertical="center"/>
    </xf>
    <xf numFmtId="168" fontId="105" fillId="22" borderId="69" xfId="2" applyNumberFormat="1" applyFont="1" applyFill="1" applyBorder="1" applyAlignment="1" applyProtection="1">
      <alignment horizontal="right" vertical="center"/>
      <protection locked="0"/>
    </xf>
    <xf numFmtId="168" fontId="105" fillId="22" borderId="48" xfId="2" applyNumberFormat="1" applyFont="1" applyFill="1" applyBorder="1" applyAlignment="1">
      <alignment horizontal="right" vertical="center"/>
    </xf>
    <xf numFmtId="168" fontId="105" fillId="22" borderId="70" xfId="2" applyNumberFormat="1" applyFont="1" applyFill="1" applyBorder="1" applyAlignment="1">
      <alignment horizontal="right" vertical="center"/>
    </xf>
    <xf numFmtId="168" fontId="102" fillId="22" borderId="47" xfId="2" applyNumberFormat="1" applyFont="1" applyFill="1" applyBorder="1" applyAlignment="1" applyProtection="1">
      <alignment horizontal="right" vertical="center"/>
      <protection locked="0"/>
    </xf>
    <xf numFmtId="0" fontId="102" fillId="22" borderId="48" xfId="0" applyFont="1" applyFill="1" applyBorder="1" applyAlignment="1">
      <alignment horizontal="right" vertical="center"/>
    </xf>
    <xf numFmtId="0" fontId="102" fillId="22" borderId="49" xfId="0" applyFont="1" applyFill="1" applyBorder="1" applyAlignment="1">
      <alignment horizontal="right" vertical="center"/>
    </xf>
    <xf numFmtId="168" fontId="102" fillId="22" borderId="32" xfId="2" applyNumberFormat="1" applyFont="1" applyFill="1" applyBorder="1" applyAlignment="1" applyProtection="1">
      <alignment horizontal="right" vertical="center"/>
    </xf>
    <xf numFmtId="0" fontId="102" fillId="22" borderId="32" xfId="0" applyFont="1" applyFill="1" applyBorder="1" applyAlignment="1">
      <alignment horizontal="right" vertical="center"/>
    </xf>
    <xf numFmtId="168" fontId="102" fillId="22" borderId="32" xfId="0" applyNumberFormat="1" applyFont="1" applyFill="1" applyBorder="1" applyAlignment="1" applyProtection="1">
      <alignment horizontal="right" vertical="center"/>
    </xf>
    <xf numFmtId="168" fontId="102" fillId="22" borderId="32" xfId="0" applyNumberFormat="1" applyFont="1" applyFill="1" applyBorder="1" applyAlignment="1">
      <alignment horizontal="right" vertical="center"/>
    </xf>
    <xf numFmtId="168" fontId="79" fillId="0" borderId="115" xfId="2" applyNumberFormat="1" applyFont="1" applyBorder="1" applyAlignment="1" applyProtection="1">
      <alignment horizontal="center"/>
    </xf>
    <xf numFmtId="168" fontId="79" fillId="0" borderId="87" xfId="2" applyNumberFormat="1" applyFont="1" applyBorder="1" applyAlignment="1" applyProtection="1">
      <alignment horizontal="center"/>
    </xf>
    <xf numFmtId="0" fontId="82" fillId="22" borderId="71" xfId="0" applyFont="1" applyFill="1" applyBorder="1" applyAlignment="1" applyProtection="1">
      <alignment horizontal="center"/>
      <protection locked="0"/>
    </xf>
    <xf numFmtId="0" fontId="82" fillId="22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168" fontId="83" fillId="0" borderId="57" xfId="2" applyNumberFormat="1" applyFont="1" applyBorder="1" applyAlignment="1" applyProtection="1">
      <alignment horizontal="center"/>
    </xf>
    <xf numFmtId="168" fontId="83" fillId="0" borderId="59" xfId="2" applyNumberFormat="1" applyFont="1" applyBorder="1" applyAlignment="1" applyProtection="1">
      <alignment horizontal="center"/>
    </xf>
    <xf numFmtId="168" fontId="79" fillId="0" borderId="86" xfId="2" applyNumberFormat="1" applyFont="1" applyBorder="1" applyAlignment="1" applyProtection="1">
      <alignment horizontal="center"/>
    </xf>
    <xf numFmtId="0" fontId="84" fillId="12" borderId="23" xfId="0" applyFont="1" applyFill="1" applyBorder="1" applyAlignment="1" applyProtection="1">
      <alignment horizontal="center" vertical="center" wrapText="1"/>
    </xf>
    <xf numFmtId="0" fontId="84" fillId="12" borderId="27" xfId="0" applyFont="1" applyFill="1" applyBorder="1" applyAlignment="1" applyProtection="1">
      <alignment horizontal="center" wrapText="1" shrinkToFit="1"/>
    </xf>
    <xf numFmtId="0" fontId="84" fillId="12" borderId="28" xfId="0" applyFont="1" applyFill="1" applyBorder="1" applyAlignment="1" applyProtection="1">
      <alignment horizontal="center" wrapText="1" shrinkToFit="1"/>
    </xf>
    <xf numFmtId="0" fontId="84" fillId="12" borderId="29" xfId="0" applyFont="1" applyFill="1" applyBorder="1" applyAlignment="1" applyProtection="1">
      <alignment horizontal="center" wrapText="1" shrinkToFit="1"/>
    </xf>
    <xf numFmtId="0" fontId="78" fillId="22" borderId="39" xfId="0" applyFont="1" applyFill="1" applyBorder="1" applyAlignment="1" applyProtection="1">
      <alignment horizontal="center" vertical="center"/>
    </xf>
    <xf numFmtId="0" fontId="78" fillId="22" borderId="0" xfId="0" applyFont="1" applyFill="1" applyBorder="1" applyAlignment="1" applyProtection="1">
      <alignment horizontal="center" vertical="center"/>
    </xf>
    <xf numFmtId="0" fontId="91" fillId="21" borderId="89" xfId="0" applyNumberFormat="1" applyFont="1" applyFill="1" applyBorder="1" applyAlignment="1" applyProtection="1">
      <alignment horizontal="center"/>
    </xf>
    <xf numFmtId="0" fontId="92" fillId="21" borderId="90" xfId="0" applyNumberFormat="1" applyFont="1" applyFill="1" applyBorder="1" applyAlignment="1" applyProtection="1">
      <alignment horizontal="center"/>
    </xf>
    <xf numFmtId="0" fontId="92" fillId="21" borderId="91" xfId="0" applyNumberFormat="1" applyFont="1" applyFill="1" applyBorder="1" applyAlignment="1" applyProtection="1">
      <alignment horizontal="center"/>
    </xf>
    <xf numFmtId="168" fontId="79" fillId="6" borderId="86" xfId="2" applyNumberFormat="1" applyFont="1" applyFill="1" applyBorder="1" applyAlignment="1" applyProtection="1">
      <alignment horizontal="center"/>
    </xf>
    <xf numFmtId="168" fontId="79" fillId="6" borderId="87" xfId="2" applyNumberFormat="1" applyFont="1" applyFill="1" applyBorder="1" applyAlignment="1" applyProtection="1">
      <alignment horizontal="center"/>
    </xf>
    <xf numFmtId="0" fontId="84" fillId="12" borderId="27" xfId="0" applyFont="1" applyFill="1" applyBorder="1" applyAlignment="1" applyProtection="1">
      <alignment horizontal="center" vertical="center" wrapText="1" shrinkToFit="1"/>
    </xf>
    <xf numFmtId="0" fontId="84" fillId="12" borderId="28" xfId="0" applyFont="1" applyFill="1" applyBorder="1" applyAlignment="1" applyProtection="1">
      <alignment horizontal="center" vertical="center" wrapText="1" shrinkToFit="1"/>
    </xf>
    <xf numFmtId="0" fontId="84" fillId="12" borderId="29" xfId="0" applyFont="1" applyFill="1" applyBorder="1" applyAlignment="1" applyProtection="1">
      <alignment horizontal="center" vertical="center" wrapText="1" shrinkToFit="1"/>
    </xf>
    <xf numFmtId="0" fontId="79" fillId="21" borderId="89" xfId="0" applyNumberFormat="1" applyFont="1" applyFill="1" applyBorder="1" applyAlignment="1" applyProtection="1">
      <alignment horizontal="center"/>
    </xf>
    <xf numFmtId="0" fontId="79" fillId="21" borderId="90" xfId="0" applyNumberFormat="1" applyFont="1" applyFill="1" applyBorder="1" applyAlignment="1" applyProtection="1">
      <alignment horizontal="center"/>
    </xf>
    <xf numFmtId="0" fontId="79" fillId="21" borderId="91" xfId="0" applyNumberFormat="1" applyFont="1" applyFill="1" applyBorder="1" applyAlignment="1" applyProtection="1">
      <alignment horizontal="center"/>
    </xf>
    <xf numFmtId="168" fontId="1" fillId="22" borderId="0" xfId="2" applyNumberFormat="1" applyFont="1" applyFill="1" applyBorder="1" applyAlignment="1" applyProtection="1">
      <alignment horizontal="center"/>
    </xf>
    <xf numFmtId="0" fontId="79" fillId="21" borderId="82" xfId="0" applyNumberFormat="1" applyFont="1" applyFill="1" applyBorder="1" applyAlignment="1" applyProtection="1">
      <alignment horizontal="center"/>
    </xf>
    <xf numFmtId="0" fontId="79" fillId="21" borderId="83" xfId="0" applyNumberFormat="1" applyFont="1" applyFill="1" applyBorder="1" applyAlignment="1" applyProtection="1">
      <alignment horizontal="center"/>
    </xf>
    <xf numFmtId="0" fontId="79" fillId="21" borderId="78" xfId="0" applyNumberFormat="1" applyFont="1" applyFill="1" applyBorder="1" applyAlignment="1" applyProtection="1">
      <alignment horizontal="center"/>
    </xf>
    <xf numFmtId="0" fontId="79" fillId="21" borderId="79" xfId="0" applyNumberFormat="1" applyFont="1" applyFill="1" applyBorder="1" applyAlignment="1" applyProtection="1">
      <alignment horizontal="center"/>
    </xf>
    <xf numFmtId="0" fontId="82" fillId="22" borderId="72" xfId="0" applyFont="1" applyFill="1" applyBorder="1" applyAlignment="1" applyProtection="1">
      <alignment horizontal="center"/>
      <protection locked="0"/>
    </xf>
    <xf numFmtId="0" fontId="79" fillId="15" borderId="89" xfId="0" applyNumberFormat="1" applyFont="1" applyFill="1" applyBorder="1" applyAlignment="1" applyProtection="1">
      <alignment horizontal="center"/>
    </xf>
    <xf numFmtId="0" fontId="79" fillId="15" borderId="90" xfId="0" applyNumberFormat="1" applyFont="1" applyFill="1" applyBorder="1" applyAlignment="1" applyProtection="1">
      <alignment horizontal="center"/>
    </xf>
    <xf numFmtId="0" fontId="79" fillId="15" borderId="91" xfId="0" applyNumberFormat="1" applyFont="1" applyFill="1" applyBorder="1" applyAlignment="1" applyProtection="1">
      <alignment horizontal="center"/>
    </xf>
    <xf numFmtId="0" fontId="79" fillId="21" borderId="64" xfId="0" applyNumberFormat="1" applyFont="1" applyFill="1" applyBorder="1" applyAlignment="1" applyProtection="1">
      <alignment horizontal="center"/>
    </xf>
    <xf numFmtId="0" fontId="79" fillId="21" borderId="65" xfId="0" applyNumberFormat="1" applyFont="1" applyFill="1" applyBorder="1" applyAlignment="1" applyProtection="1">
      <alignment horizontal="center"/>
    </xf>
    <xf numFmtId="0" fontId="79" fillId="21" borderId="66" xfId="0" applyNumberFormat="1" applyFont="1" applyFill="1" applyBorder="1" applyAlignment="1" applyProtection="1">
      <alignment horizontal="center"/>
    </xf>
    <xf numFmtId="0" fontId="84" fillId="12" borderId="2" xfId="0" applyFont="1" applyFill="1" applyBorder="1" applyAlignment="1" applyProtection="1">
      <alignment horizontal="center" vertical="center" wrapText="1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168" fontId="79" fillId="0" borderId="50" xfId="2" applyNumberFormat="1" applyFont="1" applyFill="1" applyBorder="1" applyAlignment="1" applyProtection="1">
      <alignment horizontal="center"/>
    </xf>
    <xf numFmtId="0" fontId="1" fillId="22" borderId="0" xfId="0" applyNumberFormat="1" applyFont="1" applyFill="1" applyBorder="1" applyAlignment="1" applyProtection="1">
      <alignment horizontal="center"/>
    </xf>
    <xf numFmtId="0" fontId="60" fillId="0" borderId="0" xfId="4" applyFont="1" applyFill="1" applyBorder="1" applyAlignment="1" applyProtection="1">
      <alignment horizontal="left"/>
    </xf>
    <xf numFmtId="168" fontId="79" fillId="0" borderId="63" xfId="2" applyNumberFormat="1" applyFont="1" applyBorder="1" applyAlignment="1" applyProtection="1">
      <alignment horizontal="center"/>
    </xf>
    <xf numFmtId="168" fontId="79" fillId="0" borderId="124" xfId="2" applyNumberFormat="1" applyFont="1" applyBorder="1" applyAlignment="1" applyProtection="1">
      <alignment horizontal="center"/>
    </xf>
    <xf numFmtId="0" fontId="82" fillId="22" borderId="81" xfId="0" applyFont="1" applyFill="1" applyBorder="1" applyAlignment="1" applyProtection="1">
      <alignment horizontal="center"/>
      <protection locked="0"/>
    </xf>
    <xf numFmtId="0" fontId="82" fillId="22" borderId="67" xfId="0" applyFont="1" applyFill="1" applyBorder="1" applyAlignment="1" applyProtection="1">
      <alignment horizontal="center"/>
      <protection locked="0"/>
    </xf>
    <xf numFmtId="168" fontId="79" fillId="0" borderId="117" xfId="3" applyNumberFormat="1" applyFont="1" applyBorder="1" applyAlignment="1" applyProtection="1">
      <alignment horizontal="center"/>
    </xf>
    <xf numFmtId="168" fontId="79" fillId="0" borderId="87" xfId="3" applyNumberFormat="1" applyFont="1" applyBorder="1" applyAlignment="1" applyProtection="1">
      <alignment horizontal="center"/>
    </xf>
    <xf numFmtId="168" fontId="79" fillId="0" borderId="117" xfId="2" applyNumberFormat="1" applyFont="1" applyBorder="1" applyAlignment="1" applyProtection="1">
      <alignment horizontal="center"/>
    </xf>
    <xf numFmtId="0" fontId="84" fillId="12" borderId="52" xfId="0" applyFont="1" applyFill="1" applyBorder="1" applyAlignment="1" applyProtection="1">
      <alignment horizontal="center" vertical="center" wrapText="1"/>
    </xf>
    <xf numFmtId="0" fontId="84" fillId="12" borderId="53" xfId="0" applyFont="1" applyFill="1" applyBorder="1" applyAlignment="1" applyProtection="1">
      <alignment horizontal="center" vertical="center" wrapText="1"/>
    </xf>
    <xf numFmtId="0" fontId="84" fillId="12" borderId="98" xfId="0" applyFont="1" applyFill="1" applyBorder="1" applyAlignment="1" applyProtection="1">
      <alignment horizontal="center" vertical="center" wrapText="1"/>
    </xf>
    <xf numFmtId="0" fontId="84" fillId="12" borderId="99" xfId="0" applyFont="1" applyFill="1" applyBorder="1" applyAlignment="1" applyProtection="1">
      <alignment horizontal="center" vertical="center" wrapText="1"/>
    </xf>
    <xf numFmtId="168" fontId="79" fillId="0" borderId="68" xfId="2" applyNumberFormat="1" applyFont="1" applyBorder="1" applyAlignment="1" applyProtection="1">
      <alignment horizontal="center"/>
    </xf>
    <xf numFmtId="168" fontId="79" fillId="0" borderId="75" xfId="2" applyNumberFormat="1" applyFont="1" applyBorder="1" applyAlignment="1" applyProtection="1">
      <alignment horizontal="center"/>
    </xf>
    <xf numFmtId="0" fontId="82" fillId="22" borderId="100" xfId="0" applyFont="1" applyFill="1" applyBorder="1" applyAlignment="1" applyProtection="1">
      <alignment horizontal="center"/>
      <protection locked="0"/>
    </xf>
    <xf numFmtId="0" fontId="82" fillId="22" borderId="101" xfId="0" applyFont="1" applyFill="1" applyBorder="1" applyAlignment="1" applyProtection="1">
      <alignment horizontal="center"/>
      <protection locked="0"/>
    </xf>
    <xf numFmtId="0" fontId="96" fillId="12" borderId="27" xfId="4" applyFont="1" applyFill="1" applyBorder="1" applyAlignment="1" applyProtection="1">
      <alignment horizontal="center" vertical="center" wrapText="1"/>
    </xf>
    <xf numFmtId="0" fontId="96" fillId="12" borderId="28" xfId="4" applyFont="1" applyFill="1" applyBorder="1" applyAlignment="1" applyProtection="1">
      <alignment horizontal="center" vertical="center" wrapText="1"/>
    </xf>
    <xf numFmtId="0" fontId="96" fillId="12" borderId="29" xfId="4" applyFont="1" applyFill="1" applyBorder="1" applyAlignment="1" applyProtection="1">
      <alignment horizontal="center" vertical="center" wrapText="1"/>
    </xf>
    <xf numFmtId="0" fontId="83" fillId="22" borderId="0" xfId="0" applyFont="1" applyFill="1" applyBorder="1" applyAlignment="1" applyProtection="1">
      <alignment horizontal="center"/>
    </xf>
    <xf numFmtId="168" fontId="79" fillId="0" borderId="73" xfId="3" applyNumberFormat="1" applyFont="1" applyBorder="1" applyAlignment="1" applyProtection="1">
      <alignment horizontal="center"/>
    </xf>
    <xf numFmtId="168" fontId="79" fillId="0" borderId="74" xfId="3" applyNumberFormat="1" applyFont="1" applyBorder="1" applyAlignment="1" applyProtection="1">
      <alignment horizontal="center"/>
    </xf>
    <xf numFmtId="0" fontId="82" fillId="22" borderId="102" xfId="0" applyFont="1" applyFill="1" applyBorder="1" applyAlignment="1" applyProtection="1">
      <alignment horizontal="center"/>
      <protection locked="0"/>
    </xf>
    <xf numFmtId="0" fontId="82" fillId="22" borderId="103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0" fontId="98" fillId="12" borderId="27" xfId="0" applyFont="1" applyFill="1" applyBorder="1" applyAlignment="1" applyProtection="1">
      <alignment horizontal="center" vertical="center" wrapText="1"/>
    </xf>
    <xf numFmtId="0" fontId="26" fillId="12" borderId="28" xfId="0" applyFont="1" applyFill="1" applyBorder="1" applyAlignment="1" applyProtection="1">
      <alignment horizontal="center" vertical="center" wrapText="1"/>
    </xf>
    <xf numFmtId="0" fontId="26" fillId="12" borderId="29" xfId="0" applyFont="1" applyFill="1" applyBorder="1" applyAlignment="1" applyProtection="1">
      <alignment horizontal="center" vertical="center" wrapText="1"/>
    </xf>
    <xf numFmtId="168" fontId="79" fillId="0" borderId="102" xfId="2" applyNumberFormat="1" applyFont="1" applyFill="1" applyBorder="1" applyAlignment="1" applyProtection="1">
      <alignment horizontal="center"/>
    </xf>
    <xf numFmtId="168" fontId="79" fillId="0" borderId="103" xfId="2" applyNumberFormat="1" applyFont="1" applyFill="1" applyBorder="1" applyAlignment="1" applyProtection="1">
      <alignment horizontal="center"/>
    </xf>
    <xf numFmtId="0" fontId="79" fillId="21" borderId="36" xfId="0" applyNumberFormat="1" applyFont="1" applyFill="1" applyBorder="1" applyAlignment="1" applyProtection="1">
      <alignment horizontal="center"/>
    </xf>
    <xf numFmtId="0" fontId="79" fillId="21" borderId="37" xfId="0" applyNumberFormat="1" applyFont="1" applyFill="1" applyBorder="1" applyAlignment="1" applyProtection="1">
      <alignment horizontal="center"/>
    </xf>
    <xf numFmtId="168" fontId="79" fillId="0" borderId="115" xfId="2" applyNumberFormat="1" applyFont="1" applyFill="1" applyBorder="1" applyAlignment="1" applyProtection="1">
      <alignment horizontal="center"/>
    </xf>
    <xf numFmtId="168" fontId="79" fillId="0" borderId="87" xfId="2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31" fillId="6" borderId="0" xfId="0" applyFont="1" applyFill="1" applyBorder="1" applyAlignment="1" applyProtection="1">
      <alignment horizontal="center" vertical="center"/>
    </xf>
    <xf numFmtId="0" fontId="47" fillId="6" borderId="0" xfId="0" applyFont="1" applyFill="1" applyBorder="1" applyAlignment="1" applyProtection="1">
      <alignment horizontal="center" vertical="center"/>
    </xf>
    <xf numFmtId="0" fontId="79" fillId="21" borderId="41" xfId="0" applyNumberFormat="1" applyFont="1" applyFill="1" applyBorder="1" applyAlignment="1" applyProtection="1">
      <alignment horizontal="center" wrapText="1"/>
    </xf>
    <xf numFmtId="0" fontId="79" fillId="21" borderId="42" xfId="0" applyNumberFormat="1" applyFont="1" applyFill="1" applyBorder="1" applyAlignment="1" applyProtection="1">
      <alignment horizontal="center" wrapText="1"/>
    </xf>
    <xf numFmtId="0" fontId="79" fillId="21" borderId="45" xfId="0" applyNumberFormat="1" applyFont="1" applyFill="1" applyBorder="1" applyAlignment="1" applyProtection="1">
      <alignment horizontal="center" wrapText="1"/>
    </xf>
    <xf numFmtId="0" fontId="79" fillId="21" borderId="46" xfId="0" applyNumberFormat="1" applyFont="1" applyFill="1" applyBorder="1" applyAlignment="1" applyProtection="1">
      <alignment horizontal="center" wrapText="1"/>
    </xf>
    <xf numFmtId="0" fontId="79" fillId="21" borderId="41" xfId="0" applyNumberFormat="1" applyFont="1" applyFill="1" applyBorder="1" applyAlignment="1" applyProtection="1">
      <alignment horizontal="center"/>
    </xf>
    <xf numFmtId="0" fontId="79" fillId="21" borderId="42" xfId="0" applyNumberFormat="1" applyFont="1" applyFill="1" applyBorder="1" applyAlignment="1" applyProtection="1">
      <alignment horizontal="center"/>
    </xf>
    <xf numFmtId="0" fontId="79" fillId="21" borderId="45" xfId="0" applyNumberFormat="1" applyFont="1" applyFill="1" applyBorder="1" applyAlignment="1" applyProtection="1">
      <alignment horizontal="center"/>
    </xf>
    <xf numFmtId="0" fontId="79" fillId="21" borderId="46" xfId="0" applyNumberFormat="1" applyFont="1" applyFill="1" applyBorder="1" applyAlignment="1" applyProtection="1">
      <alignment horizontal="center"/>
    </xf>
    <xf numFmtId="168" fontId="44" fillId="0" borderId="123" xfId="0" applyNumberFormat="1" applyFont="1" applyFill="1" applyBorder="1" applyAlignment="1" applyProtection="1">
      <alignment horizontal="center"/>
    </xf>
    <xf numFmtId="0" fontId="0" fillId="0" borderId="122" xfId="0" applyBorder="1"/>
    <xf numFmtId="1" fontId="82" fillId="22" borderId="0" xfId="0" applyNumberFormat="1" applyFont="1" applyFill="1" applyBorder="1" applyAlignment="1" applyProtection="1">
      <alignment horizontal="center"/>
      <protection locked="0"/>
    </xf>
    <xf numFmtId="1" fontId="82" fillId="22" borderId="95" xfId="0" applyNumberFormat="1" applyFont="1" applyFill="1" applyBorder="1" applyAlignment="1" applyProtection="1">
      <alignment horizontal="center"/>
      <protection locked="0"/>
    </xf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84" fillId="12" borderId="5" xfId="0" applyFont="1" applyFill="1" applyBorder="1" applyAlignment="1" applyProtection="1">
      <alignment horizontal="center" vertical="center" wrapText="1"/>
    </xf>
    <xf numFmtId="0" fontId="84" fillId="12" borderId="0" xfId="0" applyFont="1" applyFill="1" applyBorder="1" applyAlignment="1" applyProtection="1">
      <alignment horizontal="center" vertical="center" wrapText="1"/>
    </xf>
    <xf numFmtId="0" fontId="84" fillId="12" borderId="6" xfId="0" applyFont="1" applyFill="1" applyBorder="1" applyAlignment="1" applyProtection="1">
      <alignment horizontal="center" vertical="center" wrapText="1"/>
    </xf>
    <xf numFmtId="168" fontId="79" fillId="0" borderId="116" xfId="2" applyNumberFormat="1" applyFont="1" applyFill="1" applyBorder="1" applyAlignment="1" applyProtection="1">
      <alignment horizontal="center"/>
    </xf>
    <xf numFmtId="168" fontId="79" fillId="0" borderId="88" xfId="2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4" fillId="22" borderId="0" xfId="0" applyFont="1" applyFill="1" applyBorder="1" applyAlignment="1" applyProtection="1">
      <alignment horizontal="center" wrapText="1"/>
    </xf>
    <xf numFmtId="168" fontId="79" fillId="0" borderId="57" xfId="2" applyNumberFormat="1" applyFont="1" applyFill="1" applyBorder="1" applyAlignment="1" applyProtection="1">
      <alignment horizontal="center"/>
    </xf>
    <xf numFmtId="168" fontId="79" fillId="0" borderId="106" xfId="2" applyNumberFormat="1" applyFont="1" applyFill="1" applyBorder="1" applyAlignment="1" applyProtection="1">
      <alignment horizontal="center"/>
    </xf>
    <xf numFmtId="0" fontId="82" fillId="22" borderId="57" xfId="0" applyFont="1" applyFill="1" applyBorder="1" applyAlignment="1" applyProtection="1">
      <alignment horizontal="center"/>
      <protection locked="0"/>
    </xf>
    <xf numFmtId="0" fontId="82" fillId="22" borderId="105" xfId="0" applyFont="1" applyFill="1" applyBorder="1" applyAlignment="1" applyProtection="1">
      <alignment horizontal="center"/>
      <protection locked="0"/>
    </xf>
    <xf numFmtId="0" fontId="79" fillId="21" borderId="94" xfId="0" applyNumberFormat="1" applyFont="1" applyFill="1" applyBorder="1" applyAlignment="1" applyProtection="1">
      <alignment horizontal="center"/>
    </xf>
    <xf numFmtId="0" fontId="79" fillId="21" borderId="93" xfId="0" applyNumberFormat="1" applyFont="1" applyFill="1" applyBorder="1" applyAlignment="1" applyProtection="1">
      <alignment horizontal="center"/>
    </xf>
    <xf numFmtId="0" fontId="84" fillId="12" borderId="7" xfId="0" applyFont="1" applyFill="1" applyBorder="1" applyAlignment="1" applyProtection="1">
      <alignment horizontal="center" vertical="center" wrapText="1"/>
    </xf>
    <xf numFmtId="0" fontId="91" fillId="22" borderId="0" xfId="0" applyNumberFormat="1" applyFont="1" applyFill="1" applyBorder="1" applyAlignment="1" applyProtection="1">
      <alignment horizontal="center"/>
    </xf>
    <xf numFmtId="0" fontId="92" fillId="22" borderId="0" xfId="0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2" fillId="22" borderId="54" xfId="0" applyFont="1" applyFill="1" applyBorder="1" applyAlignment="1" applyProtection="1">
      <alignment horizontal="center"/>
      <protection locked="0"/>
    </xf>
    <xf numFmtId="0" fontId="82" fillId="22" borderId="56" xfId="0" applyFont="1" applyFill="1" applyBorder="1" applyAlignment="1" applyProtection="1">
      <alignment horizontal="center"/>
      <protection locked="0"/>
    </xf>
    <xf numFmtId="168" fontId="79" fillId="0" borderId="88" xfId="2" applyNumberFormat="1" applyFont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0" fontId="58" fillId="22" borderId="0" xfId="0" applyFont="1" applyFill="1" applyBorder="1" applyAlignment="1" applyProtection="1">
      <alignment horizontal="center" vertical="center" textRotation="90"/>
    </xf>
    <xf numFmtId="0" fontId="84" fillId="12" borderId="27" xfId="0" applyFont="1" applyFill="1" applyBorder="1" applyAlignment="1" applyProtection="1">
      <alignment horizontal="center" vertical="center" shrinkToFit="1"/>
    </xf>
    <xf numFmtId="0" fontId="84" fillId="12" borderId="28" xfId="0" applyFont="1" applyFill="1" applyBorder="1" applyAlignment="1" applyProtection="1">
      <alignment horizontal="center" vertical="center" shrinkToFit="1"/>
    </xf>
    <xf numFmtId="0" fontId="84" fillId="12" borderId="29" xfId="0" applyFont="1" applyFill="1" applyBorder="1" applyAlignment="1" applyProtection="1">
      <alignment horizontal="center" vertical="center" shrinkToFit="1"/>
    </xf>
    <xf numFmtId="168" fontId="1" fillId="0" borderId="32" xfId="2" applyNumberFormat="1" applyFont="1" applyBorder="1" applyAlignment="1" applyProtection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80" fillId="22" borderId="0" xfId="0" applyFont="1" applyFill="1" applyBorder="1" applyAlignment="1" applyProtection="1">
      <alignment horizontal="center" vertical="center"/>
    </xf>
    <xf numFmtId="0" fontId="79" fillId="21" borderId="64" xfId="0" applyFont="1" applyFill="1" applyBorder="1" applyAlignment="1" applyProtection="1">
      <alignment horizontal="center" wrapText="1"/>
    </xf>
    <xf numFmtId="0" fontId="79" fillId="21" borderId="65" xfId="0" applyFont="1" applyFill="1" applyBorder="1" applyAlignment="1" applyProtection="1">
      <alignment horizontal="center" wrapText="1"/>
    </xf>
    <xf numFmtId="0" fontId="79" fillId="21" borderId="66" xfId="0" applyFont="1" applyFill="1" applyBorder="1" applyAlignment="1" applyProtection="1">
      <alignment horizontal="center" wrapText="1"/>
    </xf>
    <xf numFmtId="164" fontId="7" fillId="0" borderId="39" xfId="2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8" fontId="83" fillId="0" borderId="36" xfId="2" applyNumberFormat="1" applyFont="1" applyFill="1" applyBorder="1" applyAlignment="1" applyProtection="1">
      <alignment horizontal="center"/>
    </xf>
    <xf numFmtId="168" fontId="83" fillId="0" borderId="37" xfId="2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101" fillId="24" borderId="0" xfId="0" applyFont="1" applyFill="1" applyBorder="1" applyAlignment="1" applyProtection="1">
      <alignment horizontal="left" vertical="center"/>
    </xf>
    <xf numFmtId="0" fontId="31" fillId="6" borderId="0" xfId="0" applyFont="1" applyFill="1" applyBorder="1" applyAlignment="1" applyProtection="1">
      <alignment horizontal="center"/>
    </xf>
    <xf numFmtId="0" fontId="43" fillId="6" borderId="0" xfId="0" applyFont="1" applyFill="1" applyBorder="1" applyAlignment="1" applyProtection="1">
      <alignment horizontal="center" vertical="center"/>
    </xf>
    <xf numFmtId="0" fontId="82" fillId="22" borderId="0" xfId="0" applyNumberFormat="1" applyFont="1" applyFill="1" applyBorder="1" applyAlignment="1" applyProtection="1">
      <alignment horizontal="center"/>
      <protection locked="0"/>
    </xf>
    <xf numFmtId="0" fontId="82" fillId="22" borderId="95" xfId="0" applyNumberFormat="1" applyFont="1" applyFill="1" applyBorder="1" applyAlignment="1" applyProtection="1">
      <alignment horizontal="center"/>
      <protection locked="0"/>
    </xf>
    <xf numFmtId="0" fontId="41" fillId="6" borderId="0" xfId="0" applyFont="1" applyFill="1" applyBorder="1" applyAlignment="1" applyProtection="1">
      <alignment horizontal="center"/>
    </xf>
    <xf numFmtId="164" fontId="44" fillId="6" borderId="0" xfId="2" applyFont="1" applyFill="1" applyBorder="1" applyAlignment="1" applyProtection="1">
      <alignment horizontal="center" vertical="center"/>
    </xf>
    <xf numFmtId="168" fontId="83" fillId="0" borderId="47" xfId="2" applyNumberFormat="1" applyFont="1" applyBorder="1" applyAlignment="1" applyProtection="1">
      <alignment horizontal="center"/>
    </xf>
    <xf numFmtId="168" fontId="83" fillId="0" borderId="49" xfId="2" applyNumberFormat="1" applyFont="1" applyBorder="1" applyAlignment="1" applyProtection="1">
      <alignment horizontal="center"/>
    </xf>
    <xf numFmtId="168" fontId="83" fillId="0" borderId="47" xfId="2" applyNumberFormat="1" applyFont="1" applyFill="1" applyBorder="1" applyAlignment="1" applyProtection="1">
      <alignment horizontal="center"/>
    </xf>
    <xf numFmtId="168" fontId="83" fillId="0" borderId="49" xfId="2" applyNumberFormat="1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168" fontId="83" fillId="0" borderId="36" xfId="2" applyNumberFormat="1" applyFont="1" applyBorder="1" applyAlignment="1" applyProtection="1">
      <alignment horizontal="center"/>
    </xf>
    <xf numFmtId="168" fontId="83" fillId="0" borderId="37" xfId="2" applyNumberFormat="1" applyFont="1" applyBorder="1" applyAlignment="1" applyProtection="1">
      <alignment horizontal="center"/>
    </xf>
    <xf numFmtId="168" fontId="83" fillId="0" borderId="96" xfId="2" applyNumberFormat="1" applyFont="1" applyFill="1" applyBorder="1" applyAlignment="1" applyProtection="1">
      <alignment horizontal="center"/>
    </xf>
    <xf numFmtId="168" fontId="83" fillId="0" borderId="97" xfId="2" applyNumberFormat="1" applyFont="1" applyFill="1" applyBorder="1" applyAlignment="1" applyProtection="1">
      <alignment horizontal="center"/>
    </xf>
    <xf numFmtId="0" fontId="41" fillId="21" borderId="110" xfId="0" applyFont="1" applyFill="1" applyBorder="1" applyAlignment="1" applyProtection="1">
      <alignment horizontal="center" vertical="center"/>
    </xf>
    <xf numFmtId="0" fontId="41" fillId="21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1" fillId="21" borderId="36" xfId="0" applyFont="1" applyFill="1" applyBorder="1" applyAlignment="1" applyProtection="1">
      <alignment horizontal="center" vertical="center"/>
    </xf>
    <xf numFmtId="0" fontId="31" fillId="21" borderId="0" xfId="0" applyFont="1" applyFill="1" applyBorder="1" applyAlignment="1">
      <alignment horizontal="center" vertical="center"/>
    </xf>
    <xf numFmtId="0" fontId="0" fillId="21" borderId="37" xfId="0" applyFill="1" applyBorder="1" applyAlignment="1">
      <alignment horizontal="center" vertical="center"/>
    </xf>
    <xf numFmtId="0" fontId="46" fillId="3" borderId="32" xfId="0" applyFont="1" applyFill="1" applyBorder="1" applyAlignment="1" applyProtection="1">
      <alignment horizontal="center" vertical="center"/>
    </xf>
    <xf numFmtId="0" fontId="46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117" fillId="0" borderId="48" xfId="0" applyFont="1" applyFill="1" applyBorder="1" applyAlignment="1" applyProtection="1">
      <alignment horizontal="left"/>
    </xf>
    <xf numFmtId="0" fontId="118" fillId="0" borderId="48" xfId="0" applyFont="1" applyBorder="1" applyAlignment="1">
      <alignment horizontal="left"/>
    </xf>
    <xf numFmtId="0" fontId="118" fillId="0" borderId="70" xfId="0" applyFont="1" applyBorder="1" applyAlignment="1">
      <alignment horizontal="left"/>
    </xf>
    <xf numFmtId="0" fontId="117" fillId="0" borderId="48" xfId="0" applyFont="1" applyBorder="1" applyAlignment="1" applyProtection="1">
      <alignment horizontal="right"/>
    </xf>
    <xf numFmtId="0" fontId="117" fillId="0" borderId="48" xfId="0" applyFont="1" applyBorder="1" applyAlignment="1">
      <alignment horizontal="right"/>
    </xf>
    <xf numFmtId="0" fontId="73" fillId="12" borderId="7" xfId="0" applyFont="1" applyFill="1" applyBorder="1" applyAlignment="1" applyProtection="1">
      <alignment horizontal="center" wrapText="1"/>
    </xf>
    <xf numFmtId="0" fontId="73" fillId="12" borderId="23" xfId="0" applyFont="1" applyFill="1" applyBorder="1" applyAlignment="1" applyProtection="1">
      <alignment horizontal="center" wrapText="1"/>
    </xf>
    <xf numFmtId="0" fontId="82" fillId="22" borderId="55" xfId="0" applyFont="1" applyFill="1" applyBorder="1" applyAlignment="1" applyProtection="1">
      <alignment horizontal="center"/>
      <protection locked="0"/>
    </xf>
    <xf numFmtId="168" fontId="79" fillId="0" borderId="39" xfId="2" applyNumberFormat="1" applyFont="1" applyBorder="1" applyAlignment="1" applyProtection="1">
      <alignment horizontal="center"/>
    </xf>
    <xf numFmtId="0" fontId="84" fillId="12" borderId="31" xfId="0" applyFont="1" applyFill="1" applyBorder="1" applyAlignment="1" applyProtection="1">
      <alignment horizontal="center" vertical="center" wrapText="1"/>
    </xf>
    <xf numFmtId="0" fontId="82" fillId="22" borderId="50" xfId="0" applyFont="1" applyFill="1" applyBorder="1" applyAlignment="1" applyProtection="1">
      <alignment horizontal="center"/>
      <protection locked="0"/>
    </xf>
    <xf numFmtId="0" fontId="95" fillId="12" borderId="27" xfId="0" applyFont="1" applyFill="1" applyBorder="1" applyAlignment="1" applyProtection="1">
      <alignment horizontal="center" vertical="center" wrapText="1"/>
    </xf>
    <xf numFmtId="0" fontId="95" fillId="12" borderId="28" xfId="0" applyFont="1" applyFill="1" applyBorder="1" applyAlignment="1" applyProtection="1">
      <alignment horizontal="center" vertical="center" wrapText="1"/>
    </xf>
    <xf numFmtId="0" fontId="95" fillId="12" borderId="29" xfId="0" applyFont="1" applyFill="1" applyBorder="1" applyAlignment="1" applyProtection="1">
      <alignment horizontal="center" vertical="center" wrapText="1"/>
    </xf>
    <xf numFmtId="168" fontId="79" fillId="0" borderId="102" xfId="2" applyNumberFormat="1" applyFont="1" applyBorder="1" applyAlignment="1" applyProtection="1">
      <alignment horizontal="center"/>
    </xf>
    <xf numFmtId="168" fontId="79" fillId="0" borderId="103" xfId="2" applyNumberFormat="1" applyFont="1" applyBorder="1" applyAlignment="1" applyProtection="1">
      <alignment horizontal="center"/>
    </xf>
    <xf numFmtId="0" fontId="73" fillId="12" borderId="27" xfId="0" applyFont="1" applyFill="1" applyBorder="1" applyAlignment="1" applyProtection="1">
      <alignment horizontal="center" vertical="center" wrapText="1"/>
    </xf>
    <xf numFmtId="0" fontId="73" fillId="12" borderId="28" xfId="0" applyFont="1" applyFill="1" applyBorder="1" applyAlignment="1" applyProtection="1">
      <alignment horizontal="center" vertical="center" wrapText="1"/>
    </xf>
    <xf numFmtId="0" fontId="73" fillId="12" borderId="29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168" fontId="79" fillId="0" borderId="39" xfId="0" applyNumberFormat="1" applyFont="1" applyBorder="1" applyAlignment="1">
      <alignment horizontal="center"/>
    </xf>
    <xf numFmtId="0" fontId="81" fillId="22" borderId="0" xfId="0" applyFont="1" applyFill="1" applyBorder="1" applyAlignment="1" applyProtection="1">
      <alignment horizontal="center"/>
      <protection locked="0"/>
    </xf>
    <xf numFmtId="0" fontId="5" fillId="22" borderId="0" xfId="0" applyNumberFormat="1" applyFont="1" applyFill="1" applyBorder="1" applyAlignment="1" applyProtection="1">
      <alignment horizontal="center"/>
    </xf>
    <xf numFmtId="0" fontId="31" fillId="0" borderId="32" xfId="0" applyFont="1" applyFill="1" applyBorder="1" applyAlignment="1" applyProtection="1">
      <alignment horizontal="center" vertical="center"/>
    </xf>
    <xf numFmtId="0" fontId="46" fillId="16" borderId="32" xfId="0" applyFont="1" applyFill="1" applyBorder="1" applyAlignment="1" applyProtection="1">
      <alignment horizontal="center" vertical="center"/>
    </xf>
    <xf numFmtId="0" fontId="31" fillId="19" borderId="32" xfId="0" applyFont="1" applyFill="1" applyBorder="1" applyAlignment="1" applyProtection="1">
      <alignment horizontal="center" vertical="center"/>
    </xf>
    <xf numFmtId="0" fontId="46" fillId="4" borderId="32" xfId="0" applyFont="1" applyFill="1" applyBorder="1" applyAlignment="1" applyProtection="1">
      <alignment horizontal="center" vertical="center"/>
    </xf>
    <xf numFmtId="0" fontId="46" fillId="12" borderId="32" xfId="0" applyFont="1" applyFill="1" applyBorder="1" applyAlignment="1" applyProtection="1">
      <alignment horizontal="center" vertical="center"/>
    </xf>
    <xf numFmtId="0" fontId="48" fillId="18" borderId="32" xfId="0" applyFont="1" applyFill="1" applyBorder="1" applyAlignment="1" applyProtection="1">
      <alignment horizontal="center" vertical="center"/>
    </xf>
    <xf numFmtId="0" fontId="31" fillId="20" borderId="32" xfId="0" applyFont="1" applyFill="1" applyBorder="1" applyAlignment="1" applyProtection="1">
      <alignment horizontal="center" vertical="center"/>
    </xf>
    <xf numFmtId="168" fontId="117" fillId="0" borderId="39" xfId="0" applyNumberFormat="1" applyFont="1" applyFill="1" applyBorder="1" applyAlignment="1" applyProtection="1">
      <alignment horizontal="center"/>
    </xf>
    <xf numFmtId="0" fontId="83" fillId="0" borderId="39" xfId="0" applyFont="1" applyBorder="1" applyAlignment="1">
      <alignment horizontal="center"/>
    </xf>
    <xf numFmtId="0" fontId="108" fillId="22" borderId="0" xfId="0" applyFont="1" applyFill="1" applyBorder="1" applyAlignment="1" applyProtection="1">
      <alignment horizontal="left" vertical="top" wrapText="1"/>
    </xf>
    <xf numFmtId="0" fontId="80" fillId="22" borderId="0" xfId="0" applyFont="1" applyFill="1" applyBorder="1" applyAlignment="1">
      <alignment horizontal="left" vertical="top" wrapText="1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90" fillId="12" borderId="118" xfId="0" applyFont="1" applyFill="1" applyBorder="1" applyAlignment="1" applyProtection="1">
      <alignment horizontal="center" vertical="center"/>
    </xf>
    <xf numFmtId="0" fontId="73" fillId="12" borderId="39" xfId="0" applyFont="1" applyFill="1" applyBorder="1" applyAlignment="1">
      <alignment vertical="center"/>
    </xf>
    <xf numFmtId="0" fontId="73" fillId="12" borderId="119" xfId="0" applyFont="1" applyFill="1" applyBorder="1" applyAlignment="1">
      <alignment vertical="center"/>
    </xf>
    <xf numFmtId="168" fontId="83" fillId="0" borderId="32" xfId="2" applyNumberFormat="1" applyFont="1" applyBorder="1" applyAlignment="1" applyProtection="1">
      <alignment horizontal="center" vertical="center"/>
    </xf>
    <xf numFmtId="0" fontId="83" fillId="0" borderId="32" xfId="0" applyFont="1" applyBorder="1" applyAlignment="1">
      <alignment vertical="center"/>
    </xf>
    <xf numFmtId="0" fontId="93" fillId="22" borderId="113" xfId="0" applyFont="1" applyFill="1" applyBorder="1" applyAlignment="1" applyProtection="1">
      <alignment horizontal="center" vertical="center"/>
      <protection locked="0"/>
    </xf>
    <xf numFmtId="0" fontId="93" fillId="22" borderId="59" xfId="0" applyFont="1" applyFill="1" applyBorder="1" applyAlignment="1" applyProtection="1">
      <alignment horizontal="center" vertical="center"/>
      <protection locked="0"/>
    </xf>
    <xf numFmtId="0" fontId="74" fillId="22" borderId="48" xfId="0" applyFont="1" applyFill="1" applyBorder="1" applyAlignment="1" applyProtection="1">
      <alignment horizontal="center" vertical="center" wrapText="1"/>
      <protection locked="0"/>
    </xf>
    <xf numFmtId="0" fontId="74" fillId="22" borderId="49" xfId="0" applyFont="1" applyFill="1" applyBorder="1" applyAlignment="1">
      <alignment horizontal="center" vertical="center" wrapText="1"/>
    </xf>
    <xf numFmtId="0" fontId="74" fillId="22" borderId="113" xfId="0" applyFont="1" applyFill="1" applyBorder="1" applyAlignment="1" applyProtection="1">
      <alignment horizontal="center" vertical="center"/>
      <protection locked="0"/>
    </xf>
    <xf numFmtId="0" fontId="74" fillId="22" borderId="59" xfId="0" applyFont="1" applyFill="1" applyBorder="1" applyAlignment="1" applyProtection="1">
      <alignment horizontal="center" vertical="center"/>
      <protection locked="0"/>
    </xf>
    <xf numFmtId="0" fontId="74" fillId="22" borderId="48" xfId="0" applyFont="1" applyFill="1" applyBorder="1" applyAlignment="1" applyProtection="1">
      <alignment horizontal="center" vertical="center"/>
      <protection locked="0"/>
    </xf>
    <xf numFmtId="0" fontId="74" fillId="22" borderId="49" xfId="0" applyFont="1" applyFill="1" applyBorder="1" applyAlignment="1" applyProtection="1">
      <alignment horizontal="center" vertical="center"/>
      <protection locked="0"/>
    </xf>
    <xf numFmtId="0" fontId="41" fillId="21" borderId="107" xfId="0" applyFont="1" applyFill="1" applyBorder="1" applyAlignment="1" applyProtection="1">
      <alignment horizontal="center" vertical="center"/>
    </xf>
    <xf numFmtId="0" fontId="41" fillId="21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31" fillId="21" borderId="111" xfId="0" applyFont="1" applyFill="1" applyBorder="1" applyAlignment="1">
      <alignment horizontal="center" vertical="center"/>
    </xf>
    <xf numFmtId="1" fontId="2" fillId="2" borderId="27" xfId="7" applyNumberFormat="1" applyFont="1" applyFill="1" applyBorder="1" applyAlignment="1" applyProtection="1">
      <alignment horizontal="left" vertical="center"/>
      <protection locked="0"/>
    </xf>
    <xf numFmtId="1" fontId="2" fillId="2" borderId="29" xfId="7" applyNumberFormat="1" applyFont="1" applyFill="1" applyBorder="1" applyAlignment="1" applyProtection="1">
      <alignment horizontal="left" vertical="center"/>
      <protection locked="0"/>
    </xf>
    <xf numFmtId="0" fontId="5" fillId="22" borderId="27" xfId="7" applyFont="1" applyFill="1" applyBorder="1" applyAlignment="1" applyProtection="1">
      <alignment horizontal="center" vertical="center"/>
      <protection locked="0"/>
    </xf>
    <xf numFmtId="0" fontId="5" fillId="22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1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1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1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27" xfId="7" applyFont="1" applyBorder="1" applyAlignment="1" applyProtection="1">
      <alignment horizontal="center" vertical="center" wrapText="1"/>
      <protection locked="0"/>
    </xf>
    <xf numFmtId="0" fontId="1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1" fillId="2" borderId="0" xfId="7" applyFont="1" applyFill="1" applyAlignment="1" applyProtection="1">
      <alignment horizontal="center"/>
      <protection locked="0"/>
    </xf>
    <xf numFmtId="0" fontId="1" fillId="2" borderId="0" xfId="7" applyNumberFormat="1" applyFont="1" applyFill="1" applyAlignment="1" applyProtection="1">
      <alignment horizontal="center"/>
      <protection locked="0"/>
    </xf>
    <xf numFmtId="0" fontId="115" fillId="12" borderId="27" xfId="7" applyFont="1" applyFill="1" applyBorder="1" applyAlignment="1" applyProtection="1">
      <alignment horizontal="center" vertical="center" wrapText="1"/>
      <protection locked="0"/>
    </xf>
    <xf numFmtId="0" fontId="115" fillId="12" borderId="28" xfId="7" applyFont="1" applyFill="1" applyBorder="1" applyAlignment="1" applyProtection="1">
      <alignment horizontal="center" vertical="center" wrapText="1"/>
      <protection locked="0"/>
    </xf>
    <xf numFmtId="0" fontId="115" fillId="12" borderId="29" xfId="7" applyFont="1" applyFill="1" applyBorder="1" applyAlignment="1" applyProtection="1">
      <alignment horizontal="center" vertical="center" wrapText="1"/>
      <protection locked="0"/>
    </xf>
    <xf numFmtId="0" fontId="115" fillId="12" borderId="27" xfId="7" applyFont="1" applyFill="1" applyBorder="1" applyAlignment="1">
      <alignment horizontal="center" vertical="center" wrapText="1"/>
    </xf>
    <xf numFmtId="0" fontId="115" fillId="12" borderId="29" xfId="7" applyFont="1" applyFill="1" applyBorder="1" applyAlignment="1">
      <alignment horizontal="center" vertical="center" wrapText="1"/>
    </xf>
    <xf numFmtId="0" fontId="31" fillId="14" borderId="23" xfId="0" applyFont="1" applyFill="1" applyBorder="1" applyAlignment="1">
      <alignment horizontal="center" vertical="center"/>
    </xf>
    <xf numFmtId="0" fontId="31" fillId="14" borderId="24" xfId="0" applyFont="1" applyFill="1" applyBorder="1" applyAlignment="1">
      <alignment horizontal="center" vertical="center"/>
    </xf>
    <xf numFmtId="0" fontId="31" fillId="14" borderId="25" xfId="0" applyFont="1" applyFill="1" applyBorder="1" applyAlignment="1">
      <alignment horizontal="center" vertical="center"/>
    </xf>
    <xf numFmtId="0" fontId="41" fillId="23" borderId="23" xfId="0" applyFont="1" applyFill="1" applyBorder="1" applyAlignment="1">
      <alignment horizontal="center"/>
    </xf>
    <xf numFmtId="0" fontId="41" fillId="23" borderId="24" xfId="0" applyFont="1" applyFill="1" applyBorder="1" applyAlignment="1">
      <alignment horizontal="center"/>
    </xf>
    <xf numFmtId="166" fontId="41" fillId="6" borderId="23" xfId="2" applyNumberFormat="1" applyFont="1" applyFill="1" applyBorder="1" applyAlignment="1"/>
    <xf numFmtId="166" fontId="41" fillId="6" borderId="24" xfId="2" applyNumberFormat="1" applyFont="1" applyFill="1" applyBorder="1" applyAlignment="1"/>
    <xf numFmtId="166" fontId="41" fillId="6" borderId="25" xfId="2" applyNumberFormat="1" applyFont="1" applyFill="1" applyBorder="1" applyAlignment="1"/>
    <xf numFmtId="166" fontId="41" fillId="23" borderId="23" xfId="0" applyNumberFormat="1" applyFont="1" applyFill="1" applyBorder="1" applyAlignment="1"/>
    <xf numFmtId="166" fontId="41" fillId="23" borderId="24" xfId="0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1" fillId="0" borderId="3" xfId="0" applyFont="1" applyBorder="1" applyAlignment="1">
      <alignment horizontal="right"/>
    </xf>
    <xf numFmtId="0" fontId="31" fillId="0" borderId="0" xfId="0" applyFont="1" applyBorder="1" applyAlignment="1">
      <alignment horizontal="right"/>
    </xf>
    <xf numFmtId="0" fontId="31" fillId="6" borderId="23" xfId="0" applyFont="1" applyFill="1" applyBorder="1" applyAlignment="1">
      <alignment horizontal="center"/>
    </xf>
    <xf numFmtId="0" fontId="31" fillId="6" borderId="24" xfId="0" applyFont="1" applyFill="1" applyBorder="1" applyAlignment="1">
      <alignment horizontal="center"/>
    </xf>
    <xf numFmtId="0" fontId="31" fillId="6" borderId="25" xfId="0" applyFont="1" applyFill="1" applyBorder="1" applyAlignment="1">
      <alignment horizontal="center"/>
    </xf>
    <xf numFmtId="1" fontId="7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6" fillId="0" borderId="16" xfId="5" applyFont="1" applyBorder="1" applyAlignment="1">
      <alignment horizontal="center"/>
    </xf>
    <xf numFmtId="0" fontId="16" fillId="0" borderId="30" xfId="5" applyFont="1" applyBorder="1" applyAlignment="1">
      <alignment horizontal="center"/>
    </xf>
    <xf numFmtId="0" fontId="5" fillId="0" borderId="14" xfId="5" applyFont="1" applyBorder="1" applyAlignment="1">
      <alignment horizontal="center" vertical="center"/>
    </xf>
    <xf numFmtId="0" fontId="5" fillId="0" borderId="15" xfId="5" applyFont="1" applyBorder="1" applyAlignment="1">
      <alignment horizontal="center" vertical="center"/>
    </xf>
    <xf numFmtId="0" fontId="5" fillId="0" borderId="13" xfId="5" applyFont="1" applyBorder="1" applyAlignment="1">
      <alignment horizontal="center" vertical="center"/>
    </xf>
    <xf numFmtId="0" fontId="5" fillId="0" borderId="9" xfId="5" applyFont="1" applyBorder="1" applyAlignment="1">
      <alignment horizontal="center" vertical="center"/>
    </xf>
    <xf numFmtId="0" fontId="5" fillId="0" borderId="10" xfId="5" applyFont="1" applyBorder="1" applyAlignment="1">
      <alignment horizontal="center" vertical="center"/>
    </xf>
    <xf numFmtId="0" fontId="5" fillId="0" borderId="11" xfId="5" applyFont="1" applyBorder="1" applyAlignment="1">
      <alignment horizontal="center" vertical="center"/>
    </xf>
    <xf numFmtId="0" fontId="8" fillId="0" borderId="28" xfId="7" applyFont="1" applyFill="1" applyBorder="1" applyAlignment="1" applyProtection="1">
      <alignment horizontal="center" vertical="center"/>
      <protection locked="0"/>
    </xf>
    <xf numFmtId="0" fontId="8" fillId="0" borderId="29" xfId="7" applyFont="1" applyFill="1" applyBorder="1" applyAlignment="1" applyProtection="1">
      <alignment horizontal="center" vertical="center"/>
      <protection locked="0"/>
    </xf>
    <xf numFmtId="0" fontId="71" fillId="22" borderId="14" xfId="7" applyFont="1" applyFill="1" applyBorder="1" applyAlignment="1" applyProtection="1">
      <alignment horizontal="center" vertical="center"/>
      <protection locked="0"/>
    </xf>
    <xf numFmtId="0" fontId="71" fillId="22" borderId="15" xfId="7" applyFont="1" applyFill="1" applyBorder="1" applyAlignment="1" applyProtection="1">
      <alignment horizontal="center" vertical="center"/>
      <protection locked="0"/>
    </xf>
    <xf numFmtId="0" fontId="71" fillId="22" borderId="9" xfId="7" applyFont="1" applyFill="1" applyBorder="1" applyAlignment="1" applyProtection="1">
      <alignment horizontal="center" vertical="center"/>
      <protection locked="0"/>
    </xf>
    <xf numFmtId="0" fontId="71" fillId="22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7" fillId="0" borderId="13" xfId="7" applyFont="1" applyFill="1" applyBorder="1" applyAlignment="1" applyProtection="1">
      <alignment horizontal="center" vertical="center"/>
      <protection locked="0"/>
    </xf>
    <xf numFmtId="0" fontId="27" fillId="0" borderId="11" xfId="7" applyFont="1" applyFill="1" applyBorder="1" applyAlignment="1" applyProtection="1">
      <alignment horizontal="center" vertical="center"/>
      <protection locked="0"/>
    </xf>
    <xf numFmtId="0" fontId="69" fillId="22" borderId="14" xfId="7" applyFont="1" applyFill="1" applyBorder="1" applyAlignment="1" applyProtection="1">
      <alignment horizontal="center" vertical="center" wrapText="1"/>
      <protection locked="0"/>
    </xf>
    <xf numFmtId="0" fontId="69" fillId="22" borderId="15" xfId="7" applyFont="1" applyFill="1" applyBorder="1" applyAlignment="1" applyProtection="1">
      <alignment horizontal="center" vertical="center" wrapText="1"/>
      <protection locked="0"/>
    </xf>
    <xf numFmtId="0" fontId="69" fillId="22" borderId="13" xfId="7" applyFont="1" applyFill="1" applyBorder="1" applyAlignment="1" applyProtection="1">
      <alignment horizontal="center" vertical="center" wrapText="1"/>
      <protection locked="0"/>
    </xf>
    <xf numFmtId="0" fontId="69" fillId="22" borderId="9" xfId="7" applyFont="1" applyFill="1" applyBorder="1" applyAlignment="1" applyProtection="1">
      <alignment horizontal="center" vertical="center" wrapText="1"/>
      <protection locked="0"/>
    </xf>
    <xf numFmtId="0" fontId="69" fillId="22" borderId="10" xfId="7" applyFont="1" applyFill="1" applyBorder="1" applyAlignment="1" applyProtection="1">
      <alignment horizontal="center" vertical="center" wrapText="1"/>
      <protection locked="0"/>
    </xf>
    <xf numFmtId="0" fontId="69" fillId="22" borderId="11" xfId="7" applyFont="1" applyFill="1" applyBorder="1" applyAlignment="1" applyProtection="1">
      <alignment horizontal="center" vertical="center" wrapText="1"/>
      <protection locked="0"/>
    </xf>
    <xf numFmtId="14" fontId="19" fillId="2" borderId="15" xfId="7" applyNumberFormat="1" applyFont="1" applyFill="1" applyBorder="1" applyAlignment="1" applyProtection="1">
      <alignment horizontal="center"/>
      <protection locked="0"/>
    </xf>
    <xf numFmtId="0" fontId="19" fillId="2" borderId="13" xfId="7" applyNumberFormat="1" applyFont="1" applyFill="1" applyBorder="1" applyAlignment="1" applyProtection="1">
      <alignment horizontal="center"/>
      <protection locked="0"/>
    </xf>
    <xf numFmtId="0" fontId="6" fillId="2" borderId="9" xfId="7" applyFont="1" applyFill="1" applyBorder="1" applyAlignment="1" applyProtection="1">
      <alignment horizontal="right"/>
      <protection locked="0"/>
    </xf>
    <xf numFmtId="0" fontId="6" fillId="2" borderId="10" xfId="7" applyFont="1" applyFill="1" applyBorder="1" applyAlignment="1" applyProtection="1">
      <alignment horizontal="right"/>
      <protection locked="0"/>
    </xf>
    <xf numFmtId="1" fontId="6" fillId="2" borderId="10" xfId="7" applyNumberFormat="1" applyFont="1" applyFill="1" applyBorder="1" applyAlignment="1" applyProtection="1">
      <alignment horizontal="center"/>
      <protection locked="0"/>
    </xf>
    <xf numFmtId="0" fontId="7" fillId="6" borderId="0" xfId="7" applyFont="1" applyFill="1" applyBorder="1" applyAlignment="1" applyProtection="1">
      <alignment horizontal="center" vertical="center" wrapText="1"/>
      <protection locked="0"/>
    </xf>
    <xf numFmtId="0" fontId="3" fillId="10" borderId="27" xfId="7" applyFont="1" applyFill="1" applyBorder="1" applyAlignment="1" applyProtection="1">
      <alignment horizontal="center" vertical="center"/>
      <protection locked="0"/>
    </xf>
    <xf numFmtId="0" fontId="3" fillId="10" borderId="29" xfId="7" applyFont="1" applyFill="1" applyBorder="1" applyAlignment="1" applyProtection="1">
      <alignment horizontal="center" vertical="center"/>
      <protection locked="0"/>
    </xf>
    <xf numFmtId="0" fontId="6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6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6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1" fillId="0" borderId="6" xfId="0" applyFont="1" applyBorder="1" applyAlignment="1"/>
    <xf numFmtId="0" fontId="21" fillId="0" borderId="20" xfId="0" applyFont="1" applyBorder="1" applyAlignment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6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6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8">
    <cellStyle name="Comma" xfId="1" builtinId="3"/>
    <cellStyle name="Currency" xfId="2" builtinId="4"/>
    <cellStyle name="Currency 2" xfId="3"/>
    <cellStyle name="Hyperlink" xfId="4" builtinId="8"/>
    <cellStyle name="Normal" xfId="0" builtinId="0"/>
    <cellStyle name="Normal 2" xfId="5"/>
    <cellStyle name="Normal 3" xfId="6"/>
    <cellStyle name="Normal_Sheet1" xfId="7"/>
  </cellStyles>
  <dxfs count="59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  <i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B9B4AF"/>
      <color rgb="FFFF6400"/>
      <color rgb="FFFF9B00"/>
      <color rgb="FFE8E8DF"/>
      <color rgb="FF3C3C3C"/>
      <color rgb="FF8C8987"/>
      <color rgb="FFEAAD3E"/>
      <color rgb="FF0000FF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312420</xdr:colOff>
      <xdr:row>405</xdr:row>
      <xdr:rowOff>38100</xdr:rowOff>
    </xdr:from>
    <xdr:to>
      <xdr:col>6</xdr:col>
      <xdr:colOff>6051</xdr:colOff>
      <xdr:row>410</xdr:row>
      <xdr:rowOff>101236</xdr:rowOff>
    </xdr:to>
    <xdr:pic>
      <xdr:nvPicPr>
        <xdr:cNvPr id="136558" name="Picture 129" descr="bulk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405</xdr:row>
      <xdr:rowOff>51099</xdr:rowOff>
    </xdr:from>
    <xdr:to>
      <xdr:col>11</xdr:col>
      <xdr:colOff>62176</xdr:colOff>
      <xdr:row>410</xdr:row>
      <xdr:rowOff>129475</xdr:rowOff>
    </xdr:to>
    <xdr:pic>
      <xdr:nvPicPr>
        <xdr:cNvPr id="136559" name="Picture 130" descr="bulk-flowrack.jpg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405</xdr:row>
      <xdr:rowOff>30480</xdr:rowOff>
    </xdr:from>
    <xdr:to>
      <xdr:col>15</xdr:col>
      <xdr:colOff>277584</xdr:colOff>
      <xdr:row>410</xdr:row>
      <xdr:rowOff>63136</xdr:rowOff>
    </xdr:to>
    <xdr:pic>
      <xdr:nvPicPr>
        <xdr:cNvPr id="136560" name="Picture 131" descr="bulk-cart.jpg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405</xdr:row>
      <xdr:rowOff>30480</xdr:rowOff>
    </xdr:from>
    <xdr:to>
      <xdr:col>21</xdr:col>
      <xdr:colOff>76200</xdr:colOff>
      <xdr:row>410</xdr:row>
      <xdr:rowOff>93616</xdr:rowOff>
    </xdr:to>
    <xdr:pic>
      <xdr:nvPicPr>
        <xdr:cNvPr id="136561" name="Picture 132" descr="bulk-work.jpg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40983</xdr:colOff>
      <xdr:row>154</xdr:row>
      <xdr:rowOff>106942</xdr:rowOff>
    </xdr:from>
    <xdr:to>
      <xdr:col>16</xdr:col>
      <xdr:colOff>317095</xdr:colOff>
      <xdr:row>159</xdr:row>
      <xdr:rowOff>116307</xdr:rowOff>
    </xdr:to>
    <xdr:pic>
      <xdr:nvPicPr>
        <xdr:cNvPr id="136575" name="Picture 134" descr="H-3-NP-B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94526" y="29607228"/>
          <a:ext cx="1527969" cy="825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125506</xdr:colOff>
      <xdr:row>154</xdr:row>
      <xdr:rowOff>13891</xdr:rowOff>
    </xdr:from>
    <xdr:to>
      <xdr:col>21</xdr:col>
      <xdr:colOff>304800</xdr:colOff>
      <xdr:row>159</xdr:row>
      <xdr:rowOff>136630</xdr:rowOff>
    </xdr:to>
    <xdr:pic>
      <xdr:nvPicPr>
        <xdr:cNvPr id="136576" name="Picture 135" descr="H-4-NP-B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4767"/>
        <a:stretch>
          <a:fillRect/>
        </a:stretch>
      </xdr:blipFill>
      <xdr:spPr bwMode="auto">
        <a:xfrm>
          <a:off x="5952565" y="28960926"/>
          <a:ext cx="1389529" cy="967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154</xdr:row>
      <xdr:rowOff>22860</xdr:rowOff>
    </xdr:from>
    <xdr:to>
      <xdr:col>26</xdr:col>
      <xdr:colOff>197926</xdr:colOff>
      <xdr:row>159</xdr:row>
      <xdr:rowOff>118653</xdr:rowOff>
    </xdr:to>
    <xdr:pic>
      <xdr:nvPicPr>
        <xdr:cNvPr id="136577" name="Picture 136" descr="H-5-NP-B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70520" y="29032200"/>
          <a:ext cx="115062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160020</xdr:colOff>
      <xdr:row>186</xdr:row>
      <xdr:rowOff>38100</xdr:rowOff>
    </xdr:from>
    <xdr:to>
      <xdr:col>6</xdr:col>
      <xdr:colOff>151130</xdr:colOff>
      <xdr:row>191</xdr:row>
      <xdr:rowOff>42197</xdr:rowOff>
    </xdr:to>
    <xdr:pic>
      <xdr:nvPicPr>
        <xdr:cNvPr id="136581" name="Picture 141" descr="HJ-1-NP-B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9100" y="33390840"/>
          <a:ext cx="126492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266700</xdr:colOff>
      <xdr:row>186</xdr:row>
      <xdr:rowOff>38100</xdr:rowOff>
    </xdr:from>
    <xdr:to>
      <xdr:col>10</xdr:col>
      <xdr:colOff>301534</xdr:colOff>
      <xdr:row>191</xdr:row>
      <xdr:rowOff>95537</xdr:rowOff>
    </xdr:to>
    <xdr:pic>
      <xdr:nvPicPr>
        <xdr:cNvPr id="136582" name="Picture 142" descr="HJ-2-B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77440" y="33390840"/>
          <a:ext cx="99822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91440</xdr:colOff>
      <xdr:row>186</xdr:row>
      <xdr:rowOff>68580</xdr:rowOff>
    </xdr:from>
    <xdr:to>
      <xdr:col>16</xdr:col>
      <xdr:colOff>243839</xdr:colOff>
      <xdr:row>191</xdr:row>
      <xdr:rowOff>42197</xdr:rowOff>
    </xdr:to>
    <xdr:pic>
      <xdr:nvPicPr>
        <xdr:cNvPr id="136583" name="Picture 143" descr="HJ-3-NP-B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53840" y="33421320"/>
          <a:ext cx="1402080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167640</xdr:colOff>
      <xdr:row>186</xdr:row>
      <xdr:rowOff>38100</xdr:rowOff>
    </xdr:from>
    <xdr:to>
      <xdr:col>21</xdr:col>
      <xdr:colOff>243840</xdr:colOff>
      <xdr:row>191</xdr:row>
      <xdr:rowOff>42197</xdr:rowOff>
    </xdr:to>
    <xdr:pic>
      <xdr:nvPicPr>
        <xdr:cNvPr id="136584" name="Picture 144" descr="HJ-4-NP-B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81700" y="33390840"/>
          <a:ext cx="129540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144780</xdr:colOff>
      <xdr:row>186</xdr:row>
      <xdr:rowOff>45720</xdr:rowOff>
    </xdr:from>
    <xdr:to>
      <xdr:col>26</xdr:col>
      <xdr:colOff>312226</xdr:colOff>
      <xdr:row>191</xdr:row>
      <xdr:rowOff>49817</xdr:rowOff>
    </xdr:to>
    <xdr:pic>
      <xdr:nvPicPr>
        <xdr:cNvPr id="136585" name="Picture 145" descr="HJ-5-NP-B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10500" y="33398460"/>
          <a:ext cx="142494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</xdr:colOff>
      <xdr:row>197</xdr:row>
      <xdr:rowOff>38100</xdr:rowOff>
    </xdr:from>
    <xdr:to>
      <xdr:col>6</xdr:col>
      <xdr:colOff>181610</xdr:colOff>
      <xdr:row>202</xdr:row>
      <xdr:rowOff>101239</xdr:rowOff>
    </xdr:to>
    <xdr:pic>
      <xdr:nvPicPr>
        <xdr:cNvPr id="136586" name="Picture 146" descr="HJ-6-NP-B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" y="35318700"/>
          <a:ext cx="131826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175260</xdr:colOff>
      <xdr:row>197</xdr:row>
      <xdr:rowOff>30480</xdr:rowOff>
    </xdr:from>
    <xdr:to>
      <xdr:col>11</xdr:col>
      <xdr:colOff>123905</xdr:colOff>
      <xdr:row>202</xdr:row>
      <xdr:rowOff>116479</xdr:rowOff>
    </xdr:to>
    <xdr:pic>
      <xdr:nvPicPr>
        <xdr:cNvPr id="136587" name="Picture 148" descr="HJ-7-NP-B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0" y="35311080"/>
          <a:ext cx="127254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92785</xdr:colOff>
      <xdr:row>197</xdr:row>
      <xdr:rowOff>72614</xdr:rowOff>
    </xdr:from>
    <xdr:to>
      <xdr:col>21</xdr:col>
      <xdr:colOff>306145</xdr:colOff>
      <xdr:row>202</xdr:row>
      <xdr:rowOff>67173</xdr:rowOff>
    </xdr:to>
    <xdr:pic>
      <xdr:nvPicPr>
        <xdr:cNvPr id="136588" name="Picture 149" descr="HJ-13-NP-B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883985" y="37724379"/>
          <a:ext cx="1430767" cy="889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357</xdr:row>
      <xdr:rowOff>7870</xdr:rowOff>
    </xdr:from>
    <xdr:to>
      <xdr:col>16</xdr:col>
      <xdr:colOff>114746</xdr:colOff>
      <xdr:row>362</xdr:row>
      <xdr:rowOff>95781</xdr:rowOff>
    </xdr:to>
    <xdr:pic>
      <xdr:nvPicPr>
        <xdr:cNvPr id="136612" name="Picture 150" descr="WF-LONG-B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449580</xdr:colOff>
      <xdr:row>323</xdr:row>
      <xdr:rowOff>167640</xdr:rowOff>
    </xdr:from>
    <xdr:to>
      <xdr:col>10</xdr:col>
      <xdr:colOff>193830</xdr:colOff>
      <xdr:row>327</xdr:row>
      <xdr:rowOff>127361</xdr:rowOff>
    </xdr:to>
    <xdr:pic>
      <xdr:nvPicPr>
        <xdr:cNvPr id="136623" name="Picture 141" descr="M6-N-B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60320" y="57218580"/>
          <a:ext cx="70104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323</xdr:row>
      <xdr:rowOff>114300</xdr:rowOff>
    </xdr:from>
    <xdr:to>
      <xdr:col>6</xdr:col>
      <xdr:colOff>189230</xdr:colOff>
      <xdr:row>328</xdr:row>
      <xdr:rowOff>6530</xdr:rowOff>
    </xdr:to>
    <xdr:pic>
      <xdr:nvPicPr>
        <xdr:cNvPr id="136624" name="Picture 142" descr="M6-25B-B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405</xdr:row>
      <xdr:rowOff>45720</xdr:rowOff>
    </xdr:from>
    <xdr:to>
      <xdr:col>25</xdr:col>
      <xdr:colOff>290710</xdr:colOff>
      <xdr:row>410</xdr:row>
      <xdr:rowOff>85996</xdr:rowOff>
    </xdr:to>
    <xdr:pic>
      <xdr:nvPicPr>
        <xdr:cNvPr id="136628" name="Picture 129" descr="bulk.jpg"/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357</xdr:row>
      <xdr:rowOff>60960</xdr:rowOff>
    </xdr:from>
    <xdr:to>
      <xdr:col>6</xdr:col>
      <xdr:colOff>59690</xdr:colOff>
      <xdr:row>362</xdr:row>
      <xdr:rowOff>47897</xdr:rowOff>
    </xdr:to>
    <xdr:pic>
      <xdr:nvPicPr>
        <xdr:cNvPr id="136637" name="Picture 136" descr="WFUP-1-b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357</xdr:row>
      <xdr:rowOff>91440</xdr:rowOff>
    </xdr:from>
    <xdr:to>
      <xdr:col>11</xdr:col>
      <xdr:colOff>70565</xdr:colOff>
      <xdr:row>362</xdr:row>
      <xdr:rowOff>63137</xdr:rowOff>
    </xdr:to>
    <xdr:pic>
      <xdr:nvPicPr>
        <xdr:cNvPr id="136638" name="Picture 137" descr="WFLOW-b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346</xdr:row>
      <xdr:rowOff>45271</xdr:rowOff>
    </xdr:from>
    <xdr:to>
      <xdr:col>20</xdr:col>
      <xdr:colOff>274020</xdr:colOff>
      <xdr:row>352</xdr:row>
      <xdr:rowOff>2691</xdr:rowOff>
    </xdr:to>
    <xdr:pic>
      <xdr:nvPicPr>
        <xdr:cNvPr id="136645" name="Picture 141" descr="F-BUS-B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285587</xdr:colOff>
      <xdr:row>29</xdr:row>
      <xdr:rowOff>9946</xdr:rowOff>
    </xdr:to>
    <xdr:pic>
      <xdr:nvPicPr>
        <xdr:cNvPr id="132" name="Picture 131" descr="Tubes-liste-de-prix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8</xdr:col>
      <xdr:colOff>116542</xdr:colOff>
      <xdr:row>208</xdr:row>
      <xdr:rowOff>44824</xdr:rowOff>
    </xdr:from>
    <xdr:to>
      <xdr:col>11</xdr:col>
      <xdr:colOff>139145</xdr:colOff>
      <xdr:row>213</xdr:row>
      <xdr:rowOff>146139</xdr:rowOff>
    </xdr:to>
    <xdr:pic>
      <xdr:nvPicPr>
        <xdr:cNvPr id="141" name="Picture 140" descr="HJ-19NP_vignett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14283" y="39023365"/>
          <a:ext cx="1344705" cy="952962"/>
        </a:xfrm>
        <a:prstGeom prst="rect">
          <a:avLst/>
        </a:prstGeom>
      </xdr:spPr>
    </xdr:pic>
    <xdr:clientData/>
  </xdr:twoCellAnchor>
  <xdr:twoCellAnchor editAs="oneCell">
    <xdr:from>
      <xdr:col>13</xdr:col>
      <xdr:colOff>161364</xdr:colOff>
      <xdr:row>197</xdr:row>
      <xdr:rowOff>26894</xdr:rowOff>
    </xdr:from>
    <xdr:to>
      <xdr:col>16</xdr:col>
      <xdr:colOff>285595</xdr:colOff>
      <xdr:row>202</xdr:row>
      <xdr:rowOff>90930</xdr:rowOff>
    </xdr:to>
    <xdr:pic>
      <xdr:nvPicPr>
        <xdr:cNvPr id="142" name="Picture 141" descr="HJ-12NP_vignett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941" b="5882"/>
        <a:stretch>
          <a:fillRect/>
        </a:stretch>
      </xdr:blipFill>
      <xdr:spPr>
        <a:xfrm>
          <a:off x="4132729" y="37113882"/>
          <a:ext cx="1365843" cy="959224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368</xdr:row>
      <xdr:rowOff>114300</xdr:rowOff>
    </xdr:from>
    <xdr:to>
      <xdr:col>6</xdr:col>
      <xdr:colOff>105410</xdr:colOff>
      <xdr:row>373</xdr:row>
      <xdr:rowOff>37015</xdr:rowOff>
    </xdr:to>
    <xdr:pic>
      <xdr:nvPicPr>
        <xdr:cNvPr id="150" name="Picture 147" descr="M8-40B-B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368</xdr:row>
      <xdr:rowOff>91440</xdr:rowOff>
    </xdr:from>
    <xdr:to>
      <xdr:col>10</xdr:col>
      <xdr:colOff>322324</xdr:colOff>
      <xdr:row>373</xdr:row>
      <xdr:rowOff>6535</xdr:rowOff>
    </xdr:to>
    <xdr:pic>
      <xdr:nvPicPr>
        <xdr:cNvPr id="151" name="Picture 148" descr="M8-N-B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415</xdr:row>
      <xdr:rowOff>17930</xdr:rowOff>
    </xdr:from>
    <xdr:to>
      <xdr:col>5</xdr:col>
      <xdr:colOff>300542</xdr:colOff>
      <xdr:row>420</xdr:row>
      <xdr:rowOff>97973</xdr:rowOff>
    </xdr:to>
    <xdr:pic>
      <xdr:nvPicPr>
        <xdr:cNvPr id="158" name="Picture 157" descr="Flexpipe Crib_vignette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13</xdr:col>
      <xdr:colOff>197224</xdr:colOff>
      <xdr:row>174</xdr:row>
      <xdr:rowOff>26894</xdr:rowOff>
    </xdr:from>
    <xdr:to>
      <xdr:col>16</xdr:col>
      <xdr:colOff>329900</xdr:colOff>
      <xdr:row>179</xdr:row>
      <xdr:rowOff>123233</xdr:rowOff>
    </xdr:to>
    <xdr:pic>
      <xdr:nvPicPr>
        <xdr:cNvPr id="172" name="Picture 171" descr="H-18NP_vignett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141695" y="33115623"/>
          <a:ext cx="1380564" cy="947987"/>
        </a:xfrm>
        <a:prstGeom prst="rect">
          <a:avLst/>
        </a:prstGeom>
      </xdr:spPr>
    </xdr:pic>
    <xdr:clientData/>
  </xdr:twoCellAnchor>
  <xdr:twoCellAnchor editAs="oneCell">
    <xdr:from>
      <xdr:col>8</xdr:col>
      <xdr:colOff>134898</xdr:colOff>
      <xdr:row>174</xdr:row>
      <xdr:rowOff>35859</xdr:rowOff>
    </xdr:from>
    <xdr:to>
      <xdr:col>11</xdr:col>
      <xdr:colOff>176806</xdr:colOff>
      <xdr:row>179</xdr:row>
      <xdr:rowOff>134471</xdr:rowOff>
    </xdr:to>
    <xdr:pic>
      <xdr:nvPicPr>
        <xdr:cNvPr id="173" name="Picture 172" descr="H-18NP_vignette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232639" y="33124588"/>
          <a:ext cx="1364010" cy="950260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153436</xdr:colOff>
      <xdr:row>113</xdr:row>
      <xdr:rowOff>81962</xdr:rowOff>
    </xdr:to>
    <xdr:pic>
      <xdr:nvPicPr>
        <xdr:cNvPr id="204" name="Picture 203" descr="HJ-1_vignett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224119</xdr:colOff>
      <xdr:row>208</xdr:row>
      <xdr:rowOff>8966</xdr:rowOff>
    </xdr:from>
    <xdr:to>
      <xdr:col>16</xdr:col>
      <xdr:colOff>108563</xdr:colOff>
      <xdr:row>213</xdr:row>
      <xdr:rowOff>129605</xdr:rowOff>
    </xdr:to>
    <xdr:pic>
      <xdr:nvPicPr>
        <xdr:cNvPr id="227" name="Picture 226" descr="HJ-90NP_vignette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95484" y="38987507"/>
          <a:ext cx="1126056" cy="972286"/>
        </a:xfrm>
        <a:prstGeom prst="rect">
          <a:avLst/>
        </a:prstGeom>
      </xdr:spPr>
    </xdr:pic>
    <xdr:clientData/>
  </xdr:twoCellAnchor>
  <xdr:twoCellAnchor editAs="oneCell">
    <xdr:from>
      <xdr:col>3</xdr:col>
      <xdr:colOff>302804</xdr:colOff>
      <xdr:row>208</xdr:row>
      <xdr:rowOff>26895</xdr:rowOff>
    </xdr:from>
    <xdr:to>
      <xdr:col>6</xdr:col>
      <xdr:colOff>118953</xdr:colOff>
      <xdr:row>213</xdr:row>
      <xdr:rowOff>134472</xdr:rowOff>
    </xdr:to>
    <xdr:pic>
      <xdr:nvPicPr>
        <xdr:cNvPr id="228" name="Picture 227" descr="HJ-17NP_vignett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7577" b="8446"/>
        <a:stretch>
          <a:fillRect/>
        </a:stretch>
      </xdr:blipFill>
      <xdr:spPr>
        <a:xfrm>
          <a:off x="553816" y="39005436"/>
          <a:ext cx="1089511" cy="959224"/>
        </a:xfrm>
        <a:prstGeom prst="rect">
          <a:avLst/>
        </a:prstGeom>
      </xdr:spPr>
    </xdr:pic>
    <xdr:clientData/>
  </xdr:twoCellAnchor>
  <xdr:twoCellAnchor editAs="oneCell">
    <xdr:from>
      <xdr:col>23</xdr:col>
      <xdr:colOff>349624</xdr:colOff>
      <xdr:row>197</xdr:row>
      <xdr:rowOff>35859</xdr:rowOff>
    </xdr:from>
    <xdr:to>
      <xdr:col>26</xdr:col>
      <xdr:colOff>68087</xdr:colOff>
      <xdr:row>202</xdr:row>
      <xdr:rowOff>95351</xdr:rowOff>
    </xdr:to>
    <xdr:pic>
      <xdr:nvPicPr>
        <xdr:cNvPr id="229" name="Picture 228" descr="HJ-15NP_vignette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987553" y="37122847"/>
          <a:ext cx="974164" cy="95468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334</xdr:row>
      <xdr:rowOff>83820</xdr:rowOff>
    </xdr:from>
    <xdr:to>
      <xdr:col>6</xdr:col>
      <xdr:colOff>113030</xdr:colOff>
      <xdr:row>339</xdr:row>
      <xdr:rowOff>52254</xdr:rowOff>
    </xdr:to>
    <xdr:pic>
      <xdr:nvPicPr>
        <xdr:cNvPr id="230" name="Picture 144" descr="M6-25BWZ-B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882640" y="63240173"/>
          <a:ext cx="1293607" cy="874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396240</xdr:colOff>
      <xdr:row>334</xdr:row>
      <xdr:rowOff>53340</xdr:rowOff>
    </xdr:from>
    <xdr:to>
      <xdr:col>10</xdr:col>
      <xdr:colOff>309154</xdr:colOff>
      <xdr:row>339</xdr:row>
      <xdr:rowOff>37014</xdr:rowOff>
    </xdr:to>
    <xdr:pic>
      <xdr:nvPicPr>
        <xdr:cNvPr id="231" name="Picture 146" descr="M6-NWZ-B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034169" y="63209693"/>
          <a:ext cx="874507" cy="889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215153</xdr:colOff>
      <xdr:row>435</xdr:row>
      <xdr:rowOff>15733</xdr:rowOff>
    </xdr:from>
    <xdr:to>
      <xdr:col>21</xdr:col>
      <xdr:colOff>109370</xdr:colOff>
      <xdr:row>440</xdr:row>
      <xdr:rowOff>92968</xdr:rowOff>
    </xdr:to>
    <xdr:pic>
      <xdr:nvPicPr>
        <xdr:cNvPr id="223" name="Picture 243" descr="5-t-bit-b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232</xdr:row>
      <xdr:rowOff>26894</xdr:rowOff>
    </xdr:from>
    <xdr:to>
      <xdr:col>6</xdr:col>
      <xdr:colOff>143510</xdr:colOff>
      <xdr:row>237</xdr:row>
      <xdr:rowOff>137160</xdr:rowOff>
    </xdr:to>
    <xdr:pic>
      <xdr:nvPicPr>
        <xdr:cNvPr id="250" name="Picture 249" descr="AF-ILEV_vignett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232</xdr:row>
      <xdr:rowOff>44822</xdr:rowOff>
    </xdr:from>
    <xdr:to>
      <xdr:col>11</xdr:col>
      <xdr:colOff>169625</xdr:colOff>
      <xdr:row>237</xdr:row>
      <xdr:rowOff>152400</xdr:rowOff>
    </xdr:to>
    <xdr:pic>
      <xdr:nvPicPr>
        <xdr:cNvPr id="258" name="Picture 257" descr="AF-OLEV_vignett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232</xdr:row>
      <xdr:rowOff>26894</xdr:rowOff>
    </xdr:from>
    <xdr:to>
      <xdr:col>16</xdr:col>
      <xdr:colOff>281939</xdr:colOff>
      <xdr:row>237</xdr:row>
      <xdr:rowOff>137160</xdr:rowOff>
    </xdr:to>
    <xdr:pic>
      <xdr:nvPicPr>
        <xdr:cNvPr id="260" name="Picture 259" descr="AF-RUB_vignette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232</xdr:row>
      <xdr:rowOff>44822</xdr:rowOff>
    </xdr:from>
    <xdr:to>
      <xdr:col>26</xdr:col>
      <xdr:colOff>250177</xdr:colOff>
      <xdr:row>237</xdr:row>
      <xdr:rowOff>144780</xdr:rowOff>
    </xdr:to>
    <xdr:pic>
      <xdr:nvPicPr>
        <xdr:cNvPr id="264" name="Picture 263" descr="AF-STACK_vignette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254</xdr:row>
      <xdr:rowOff>35859</xdr:rowOff>
    </xdr:from>
    <xdr:to>
      <xdr:col>16</xdr:col>
      <xdr:colOff>255989</xdr:colOff>
      <xdr:row>259</xdr:row>
      <xdr:rowOff>160020</xdr:rowOff>
    </xdr:to>
    <xdr:pic>
      <xdr:nvPicPr>
        <xdr:cNvPr id="265" name="Picture 264" descr="AI-CENTER_vignett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254</xdr:row>
      <xdr:rowOff>29006</xdr:rowOff>
    </xdr:from>
    <xdr:to>
      <xdr:col>6</xdr:col>
      <xdr:colOff>304426</xdr:colOff>
      <xdr:row>259</xdr:row>
      <xdr:rowOff>87487</xdr:rowOff>
    </xdr:to>
    <xdr:pic>
      <xdr:nvPicPr>
        <xdr:cNvPr id="266" name="Picture 265" descr="AI-CORNER_vignett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254</xdr:row>
      <xdr:rowOff>129540</xdr:rowOff>
    </xdr:from>
    <xdr:to>
      <xdr:col>11</xdr:col>
      <xdr:colOff>330733</xdr:colOff>
      <xdr:row>259</xdr:row>
      <xdr:rowOff>121931</xdr:rowOff>
    </xdr:to>
    <xdr:pic>
      <xdr:nvPicPr>
        <xdr:cNvPr id="267" name="Picture 266" descr="AI-SUPPORT_vignette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3547" b="15333"/>
        <a:stretch>
          <a:fillRect/>
        </a:stretch>
      </xdr:blipFill>
      <xdr:spPr>
        <a:xfrm>
          <a:off x="2209046" y="49827180"/>
          <a:ext cx="1616194" cy="853451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243</xdr:row>
      <xdr:rowOff>35860</xdr:rowOff>
    </xdr:from>
    <xdr:to>
      <xdr:col>11</xdr:col>
      <xdr:colOff>186211</xdr:colOff>
      <xdr:row>248</xdr:row>
      <xdr:rowOff>137158</xdr:rowOff>
    </xdr:to>
    <xdr:pic>
      <xdr:nvPicPr>
        <xdr:cNvPr id="270" name="Picture 269" descr="AO-CLIP_vignette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243</xdr:row>
      <xdr:rowOff>35858</xdr:rowOff>
    </xdr:from>
    <xdr:to>
      <xdr:col>16</xdr:col>
      <xdr:colOff>335281</xdr:colOff>
      <xdr:row>248</xdr:row>
      <xdr:rowOff>143465</xdr:rowOff>
    </xdr:to>
    <xdr:pic>
      <xdr:nvPicPr>
        <xdr:cNvPr id="271" name="Picture 270" descr="AO-EMT1_vignett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243</xdr:row>
      <xdr:rowOff>11257</xdr:rowOff>
    </xdr:from>
    <xdr:to>
      <xdr:col>21</xdr:col>
      <xdr:colOff>373380</xdr:colOff>
      <xdr:row>248</xdr:row>
      <xdr:rowOff>152398</xdr:rowOff>
    </xdr:to>
    <xdr:pic>
      <xdr:nvPicPr>
        <xdr:cNvPr id="272" name="Picture 271" descr="AO-EMT2_vignette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243</xdr:row>
      <xdr:rowOff>26894</xdr:rowOff>
    </xdr:from>
    <xdr:to>
      <xdr:col>6</xdr:col>
      <xdr:colOff>276904</xdr:colOff>
      <xdr:row>248</xdr:row>
      <xdr:rowOff>144778</xdr:rowOff>
    </xdr:to>
    <xdr:pic>
      <xdr:nvPicPr>
        <xdr:cNvPr id="273" name="Picture 272" descr="AO-SHIM_vignett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221</xdr:row>
      <xdr:rowOff>21864</xdr:rowOff>
    </xdr:from>
    <xdr:to>
      <xdr:col>16</xdr:col>
      <xdr:colOff>345142</xdr:colOff>
      <xdr:row>226</xdr:row>
      <xdr:rowOff>87548</xdr:rowOff>
    </xdr:to>
    <xdr:pic>
      <xdr:nvPicPr>
        <xdr:cNvPr id="274" name="Picture 273" descr="AP-CNNCT_vignette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221</xdr:row>
      <xdr:rowOff>17930</xdr:rowOff>
    </xdr:from>
    <xdr:to>
      <xdr:col>21</xdr:col>
      <xdr:colOff>412377</xdr:colOff>
      <xdr:row>226</xdr:row>
      <xdr:rowOff>106038</xdr:rowOff>
    </xdr:to>
    <xdr:pic>
      <xdr:nvPicPr>
        <xdr:cNvPr id="275" name="Picture 274" descr="AP-CNNCT2_vignett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221</xdr:row>
      <xdr:rowOff>22860</xdr:rowOff>
    </xdr:from>
    <xdr:to>
      <xdr:col>26</xdr:col>
      <xdr:colOff>251266</xdr:colOff>
      <xdr:row>226</xdr:row>
      <xdr:rowOff>103371</xdr:rowOff>
    </xdr:to>
    <xdr:pic>
      <xdr:nvPicPr>
        <xdr:cNvPr id="276" name="Picture 275" descr="AP-HINGE_vignett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221</xdr:row>
      <xdr:rowOff>26894</xdr:rowOff>
    </xdr:from>
    <xdr:to>
      <xdr:col>6</xdr:col>
      <xdr:colOff>411349</xdr:colOff>
      <xdr:row>226</xdr:row>
      <xdr:rowOff>105047</xdr:rowOff>
    </xdr:to>
    <xdr:pic>
      <xdr:nvPicPr>
        <xdr:cNvPr id="277" name="Picture 276" descr="AP-ICAP_vignette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221</xdr:row>
      <xdr:rowOff>35859</xdr:rowOff>
    </xdr:from>
    <xdr:to>
      <xdr:col>11</xdr:col>
      <xdr:colOff>453712</xdr:colOff>
      <xdr:row>226</xdr:row>
      <xdr:rowOff>101237</xdr:rowOff>
    </xdr:to>
    <xdr:pic>
      <xdr:nvPicPr>
        <xdr:cNvPr id="278" name="Picture 277" descr="AP-ICAP2_vignette-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265</xdr:row>
      <xdr:rowOff>38100</xdr:rowOff>
    </xdr:from>
    <xdr:to>
      <xdr:col>6</xdr:col>
      <xdr:colOff>151130</xdr:colOff>
      <xdr:row>270</xdr:row>
      <xdr:rowOff>108856</xdr:rowOff>
    </xdr:to>
    <xdr:pic>
      <xdr:nvPicPr>
        <xdr:cNvPr id="279" name="Picture 278" descr="AS-DIVIDER_vignett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265</xdr:row>
      <xdr:rowOff>38100</xdr:rowOff>
    </xdr:from>
    <xdr:to>
      <xdr:col>16</xdr:col>
      <xdr:colOff>175259</xdr:colOff>
      <xdr:row>270</xdr:row>
      <xdr:rowOff>101236</xdr:rowOff>
    </xdr:to>
    <xdr:pic>
      <xdr:nvPicPr>
        <xdr:cNvPr id="280" name="Picture 279" descr="AS-REST_vignette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265</xdr:row>
      <xdr:rowOff>53788</xdr:rowOff>
    </xdr:from>
    <xdr:to>
      <xdr:col>11</xdr:col>
      <xdr:colOff>291545</xdr:colOff>
      <xdr:row>270</xdr:row>
      <xdr:rowOff>101236</xdr:rowOff>
    </xdr:to>
    <xdr:pic>
      <xdr:nvPicPr>
        <xdr:cNvPr id="161" name="Picture 160" descr="AS-SWIVEL_vignette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18</xdr:col>
      <xdr:colOff>83820</xdr:colOff>
      <xdr:row>287</xdr:row>
      <xdr:rowOff>22860</xdr:rowOff>
    </xdr:from>
    <xdr:to>
      <xdr:col>21</xdr:col>
      <xdr:colOff>342900</xdr:colOff>
      <xdr:row>292</xdr:row>
      <xdr:rowOff>111488</xdr:rowOff>
    </xdr:to>
    <xdr:pic>
      <xdr:nvPicPr>
        <xdr:cNvPr id="162" name="Picture 161" descr="AW-HANGER_vignette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8000" b="3333"/>
        <a:stretch>
          <a:fillRect/>
        </a:stretch>
      </xdr:blipFill>
      <xdr:spPr>
        <a:xfrm>
          <a:off x="5913120" y="53248560"/>
          <a:ext cx="1470660" cy="977989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287</xdr:row>
      <xdr:rowOff>22860</xdr:rowOff>
    </xdr:from>
    <xdr:to>
      <xdr:col>16</xdr:col>
      <xdr:colOff>274319</xdr:colOff>
      <xdr:row>292</xdr:row>
      <xdr:rowOff>102458</xdr:rowOff>
    </xdr:to>
    <xdr:pic>
      <xdr:nvPicPr>
        <xdr:cNvPr id="163" name="Picture 162" descr="AW-HOLDER_vignette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287</xdr:row>
      <xdr:rowOff>22860</xdr:rowOff>
    </xdr:from>
    <xdr:to>
      <xdr:col>6</xdr:col>
      <xdr:colOff>36830</xdr:colOff>
      <xdr:row>292</xdr:row>
      <xdr:rowOff>92816</xdr:rowOff>
    </xdr:to>
    <xdr:pic>
      <xdr:nvPicPr>
        <xdr:cNvPr id="164" name="Picture 163" descr="AW-HOOK_vignette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287</xdr:row>
      <xdr:rowOff>15240</xdr:rowOff>
    </xdr:from>
    <xdr:to>
      <xdr:col>11</xdr:col>
      <xdr:colOff>154385</xdr:colOff>
      <xdr:row>292</xdr:row>
      <xdr:rowOff>90692</xdr:rowOff>
    </xdr:to>
    <xdr:pic>
      <xdr:nvPicPr>
        <xdr:cNvPr id="166" name="Picture 165" descr="AW-ROLLER_vignette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</xdr:colOff>
      <xdr:row>311</xdr:row>
      <xdr:rowOff>22859</xdr:rowOff>
    </xdr:from>
    <xdr:to>
      <xdr:col>16</xdr:col>
      <xdr:colOff>358139</xdr:colOff>
      <xdr:row>315</xdr:row>
      <xdr:rowOff>101462</xdr:rowOff>
    </xdr:to>
    <xdr:pic>
      <xdr:nvPicPr>
        <xdr:cNvPr id="167" name="Picture 166" descr="D-ALUW-4818_vignette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b="32667"/>
        <a:stretch>
          <a:fillRect/>
        </a:stretch>
      </xdr:blipFill>
      <xdr:spPr>
        <a:xfrm>
          <a:off x="4000500" y="59984639"/>
          <a:ext cx="1569720" cy="7927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311</xdr:row>
      <xdr:rowOff>7620</xdr:rowOff>
    </xdr:from>
    <xdr:to>
      <xdr:col>6</xdr:col>
      <xdr:colOff>431800</xdr:colOff>
      <xdr:row>315</xdr:row>
      <xdr:rowOff>158747</xdr:rowOff>
    </xdr:to>
    <xdr:pic>
      <xdr:nvPicPr>
        <xdr:cNvPr id="168" name="Picture 167" descr="D-HDPEW-4812_vignette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311</xdr:row>
      <xdr:rowOff>31750</xdr:rowOff>
    </xdr:from>
    <xdr:to>
      <xdr:col>11</xdr:col>
      <xdr:colOff>386976</xdr:colOff>
      <xdr:row>314</xdr:row>
      <xdr:rowOff>69847</xdr:rowOff>
    </xdr:to>
    <xdr:pic>
      <xdr:nvPicPr>
        <xdr:cNvPr id="212" name="Picture 211" descr="D-HDPEW-4814_vignette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b="26000"/>
        <a:stretch>
          <a:fillRect/>
        </a:stretch>
      </xdr:blipFill>
      <xdr:spPr>
        <a:xfrm>
          <a:off x="2298700" y="61956950"/>
          <a:ext cx="1689100" cy="571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256540</xdr:colOff>
      <xdr:row>381</xdr:row>
      <xdr:rowOff>13971</xdr:rowOff>
    </xdr:from>
    <xdr:to>
      <xdr:col>16</xdr:col>
      <xdr:colOff>326390</xdr:colOff>
      <xdr:row>387</xdr:row>
      <xdr:rowOff>1867</xdr:rowOff>
    </xdr:to>
    <xdr:pic>
      <xdr:nvPicPr>
        <xdr:cNvPr id="232" name="Picture 231" descr="EW_3ESB_vignette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403090" y="76525121"/>
          <a:ext cx="1333500" cy="970279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415</xdr:row>
      <xdr:rowOff>59615</xdr:rowOff>
    </xdr:from>
    <xdr:to>
      <xdr:col>16</xdr:col>
      <xdr:colOff>396238</xdr:colOff>
      <xdr:row>420</xdr:row>
      <xdr:rowOff>145037</xdr:rowOff>
    </xdr:to>
    <xdr:pic>
      <xdr:nvPicPr>
        <xdr:cNvPr id="233" name="Picture 232" descr="Training-169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158750</xdr:colOff>
      <xdr:row>61</xdr:row>
      <xdr:rowOff>137707</xdr:rowOff>
    </xdr:to>
    <xdr:pic>
      <xdr:nvPicPr>
        <xdr:cNvPr id="281" name="Picture 280" descr="H-1_vignette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11480" y="11742420"/>
          <a:ext cx="1264920" cy="94869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268685</xdr:colOff>
      <xdr:row>61</xdr:row>
      <xdr:rowOff>80557</xdr:rowOff>
    </xdr:to>
    <xdr:pic>
      <xdr:nvPicPr>
        <xdr:cNvPr id="282" name="Picture 281" descr="H-2_vignette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213360</xdr:colOff>
      <xdr:row>61</xdr:row>
      <xdr:rowOff>138746</xdr:rowOff>
    </xdr:to>
    <xdr:pic>
      <xdr:nvPicPr>
        <xdr:cNvPr id="284" name="Picture 283" descr="H-4_vignett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251266</xdr:colOff>
      <xdr:row>61</xdr:row>
      <xdr:rowOff>141517</xdr:rowOff>
    </xdr:to>
    <xdr:pic>
      <xdr:nvPicPr>
        <xdr:cNvPr id="285" name="Picture 284" descr="H-5_vignette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105410</xdr:colOff>
      <xdr:row>71</xdr:row>
      <xdr:rowOff>104501</xdr:rowOff>
    </xdr:to>
    <xdr:pic>
      <xdr:nvPicPr>
        <xdr:cNvPr id="286" name="Picture 285" descr="H-6_vignette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40085</xdr:colOff>
      <xdr:row>71</xdr:row>
      <xdr:rowOff>112122</xdr:rowOff>
    </xdr:to>
    <xdr:pic>
      <xdr:nvPicPr>
        <xdr:cNvPr id="287" name="Picture 286" descr="H-6A_vignette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190500</xdr:colOff>
      <xdr:row>71</xdr:row>
      <xdr:rowOff>113575</xdr:rowOff>
    </xdr:to>
    <xdr:pic>
      <xdr:nvPicPr>
        <xdr:cNvPr id="289" name="Picture 288" descr="H-7A_vignette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289560</xdr:colOff>
      <xdr:row>66</xdr:row>
      <xdr:rowOff>20782</xdr:rowOff>
    </xdr:from>
    <xdr:to>
      <xdr:col>26</xdr:col>
      <xdr:colOff>98866</xdr:colOff>
      <xdr:row>71</xdr:row>
      <xdr:rowOff>97574</xdr:rowOff>
    </xdr:to>
    <xdr:pic>
      <xdr:nvPicPr>
        <xdr:cNvPr id="290" name="Picture 289" descr="H-8-vignette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7500" r="10000"/>
        <a:stretch>
          <a:fillRect/>
        </a:stretch>
      </xdr:blipFill>
      <xdr:spPr>
        <a:xfrm>
          <a:off x="8023860" y="13401502"/>
          <a:ext cx="1059180" cy="962891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76</xdr:row>
      <xdr:rowOff>22860</xdr:rowOff>
    </xdr:from>
    <xdr:to>
      <xdr:col>6</xdr:col>
      <xdr:colOff>52070</xdr:colOff>
      <xdr:row>81</xdr:row>
      <xdr:rowOff>119741</xdr:rowOff>
    </xdr:to>
    <xdr:pic>
      <xdr:nvPicPr>
        <xdr:cNvPr id="291" name="Picture 290" descr="H-9_vignette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1000" r="18000"/>
        <a:stretch>
          <a:fillRect/>
        </a:stretch>
      </xdr:blipFill>
      <xdr:spPr>
        <a:xfrm rot="10800000">
          <a:off x="698500" y="16666210"/>
          <a:ext cx="1036320" cy="979533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70565</xdr:colOff>
      <xdr:row>81</xdr:row>
      <xdr:rowOff>119741</xdr:rowOff>
    </xdr:to>
    <xdr:pic>
      <xdr:nvPicPr>
        <xdr:cNvPr id="292" name="Picture 291" descr="H-12_vignette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304800</xdr:colOff>
      <xdr:row>81</xdr:row>
      <xdr:rowOff>124731</xdr:rowOff>
    </xdr:to>
    <xdr:pic>
      <xdr:nvPicPr>
        <xdr:cNvPr id="293" name="Picture 292" descr="H-14_vignette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164195</xdr:colOff>
      <xdr:row>81</xdr:row>
      <xdr:rowOff>119741</xdr:rowOff>
    </xdr:to>
    <xdr:pic>
      <xdr:nvPicPr>
        <xdr:cNvPr id="294" name="Picture 293" descr="H-15_vignette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86</xdr:row>
      <xdr:rowOff>15240</xdr:rowOff>
    </xdr:from>
    <xdr:to>
      <xdr:col>6</xdr:col>
      <xdr:colOff>196850</xdr:colOff>
      <xdr:row>91</xdr:row>
      <xdr:rowOff>89806</xdr:rowOff>
    </xdr:to>
    <xdr:pic>
      <xdr:nvPicPr>
        <xdr:cNvPr id="295" name="Picture 294" descr="H-16_vignette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19100" y="16809720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169625</xdr:colOff>
      <xdr:row>91</xdr:row>
      <xdr:rowOff>93617</xdr:rowOff>
    </xdr:to>
    <xdr:pic>
      <xdr:nvPicPr>
        <xdr:cNvPr id="296" name="Picture 295" descr="H-17_vignette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101236</xdr:rowOff>
    </xdr:to>
    <xdr:pic>
      <xdr:nvPicPr>
        <xdr:cNvPr id="297" name="Picture 296" descr="H-18_vignette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289560</xdr:colOff>
      <xdr:row>91</xdr:row>
      <xdr:rowOff>95520</xdr:rowOff>
    </xdr:to>
    <xdr:pic>
      <xdr:nvPicPr>
        <xdr:cNvPr id="298" name="Picture 297" descr="H-19_vignette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253806</xdr:colOff>
      <xdr:row>91</xdr:row>
      <xdr:rowOff>108856</xdr:rowOff>
    </xdr:to>
    <xdr:pic>
      <xdr:nvPicPr>
        <xdr:cNvPr id="299" name="Picture 298" descr="H-90_vignette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96</xdr:row>
      <xdr:rowOff>35859</xdr:rowOff>
    </xdr:from>
    <xdr:to>
      <xdr:col>6</xdr:col>
      <xdr:colOff>280670</xdr:colOff>
      <xdr:row>101</xdr:row>
      <xdr:rowOff>116480</xdr:rowOff>
    </xdr:to>
    <xdr:pic>
      <xdr:nvPicPr>
        <xdr:cNvPr id="300" name="Picture 299" descr="HJ-MS_vignette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3876"/>
        <a:stretch>
          <a:fillRect/>
        </a:stretch>
      </xdr:blipFill>
      <xdr:spPr>
        <a:xfrm>
          <a:off x="441512" y="18790024"/>
          <a:ext cx="1363532" cy="95787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10</xdr:col>
      <xdr:colOff>333531</xdr:colOff>
      <xdr:row>101</xdr:row>
      <xdr:rowOff>73002</xdr:rowOff>
    </xdr:to>
    <xdr:pic>
      <xdr:nvPicPr>
        <xdr:cNvPr id="301" name="Picture 300" descr="HJ-DS_vignette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5119" t="2400" r="15500" b="3019"/>
        <a:stretch>
          <a:fillRect/>
        </a:stretch>
      </xdr:blipFill>
      <xdr:spPr>
        <a:xfrm>
          <a:off x="2456331" y="18772381"/>
          <a:ext cx="935018" cy="93204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276</xdr:row>
      <xdr:rowOff>30480</xdr:rowOff>
    </xdr:from>
    <xdr:to>
      <xdr:col>16</xdr:col>
      <xdr:colOff>358139</xdr:colOff>
      <xdr:row>281</xdr:row>
      <xdr:rowOff>70757</xdr:rowOff>
    </xdr:to>
    <xdr:pic>
      <xdr:nvPicPr>
        <xdr:cNvPr id="160" name="Picture 159" descr="AL-TAG_vignette-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276</xdr:row>
      <xdr:rowOff>55517</xdr:rowOff>
    </xdr:from>
    <xdr:to>
      <xdr:col>21</xdr:col>
      <xdr:colOff>426719</xdr:colOff>
      <xdr:row>281</xdr:row>
      <xdr:rowOff>141514</xdr:rowOff>
    </xdr:to>
    <xdr:pic>
      <xdr:nvPicPr>
        <xdr:cNvPr id="165" name="Picture 164" descr="AL-TAG2_vignette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276</xdr:row>
      <xdr:rowOff>69669</xdr:rowOff>
    </xdr:from>
    <xdr:to>
      <xdr:col>6</xdr:col>
      <xdr:colOff>204470</xdr:colOff>
      <xdr:row>281</xdr:row>
      <xdr:rowOff>151857</xdr:rowOff>
    </xdr:to>
    <xdr:pic>
      <xdr:nvPicPr>
        <xdr:cNvPr id="169" name="Picture 168" descr="AC_SKID_vignette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276</xdr:row>
      <xdr:rowOff>30480</xdr:rowOff>
    </xdr:from>
    <xdr:to>
      <xdr:col>11</xdr:col>
      <xdr:colOff>123905</xdr:colOff>
      <xdr:row>281</xdr:row>
      <xdr:rowOff>116478</xdr:rowOff>
    </xdr:to>
    <xdr:pic>
      <xdr:nvPicPr>
        <xdr:cNvPr id="170" name="Picture 169" descr="AC-STRAP_vignett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33939</xdr:colOff>
      <xdr:row>154</xdr:row>
      <xdr:rowOff>40981</xdr:rowOff>
    </xdr:from>
    <xdr:to>
      <xdr:col>11</xdr:col>
      <xdr:colOff>240768</xdr:colOff>
      <xdr:row>159</xdr:row>
      <xdr:rowOff>101811</xdr:rowOff>
    </xdr:to>
    <xdr:pic>
      <xdr:nvPicPr>
        <xdr:cNvPr id="180" name="Picture 179" descr="H-2NP_vignette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1765" b="12941"/>
        <a:stretch>
          <a:fillRect/>
        </a:stretch>
      </xdr:blipFill>
      <xdr:spPr>
        <a:xfrm>
          <a:off x="2145768" y="29541267"/>
          <a:ext cx="1525281" cy="87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164</xdr:row>
      <xdr:rowOff>35860</xdr:rowOff>
    </xdr:from>
    <xdr:to>
      <xdr:col>6</xdr:col>
      <xdr:colOff>206106</xdr:colOff>
      <xdr:row>169</xdr:row>
      <xdr:rowOff>113648</xdr:rowOff>
    </xdr:to>
    <xdr:pic>
      <xdr:nvPicPr>
        <xdr:cNvPr id="181" name="Picture 180" descr="H-6NP_vignette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b="3529"/>
        <a:stretch>
          <a:fillRect/>
        </a:stretch>
      </xdr:blipFill>
      <xdr:spPr>
        <a:xfrm>
          <a:off x="403412" y="30748942"/>
          <a:ext cx="1327068" cy="960173"/>
        </a:xfrm>
        <a:prstGeom prst="rect">
          <a:avLst/>
        </a:prstGeom>
      </xdr:spPr>
    </xdr:pic>
    <xdr:clientData/>
  </xdr:twoCellAnchor>
  <xdr:twoCellAnchor editAs="oneCell">
    <xdr:from>
      <xdr:col>8</xdr:col>
      <xdr:colOff>322729</xdr:colOff>
      <xdr:row>164</xdr:row>
      <xdr:rowOff>35860</xdr:rowOff>
    </xdr:from>
    <xdr:to>
      <xdr:col>11</xdr:col>
      <xdr:colOff>9604</xdr:colOff>
      <xdr:row>169</xdr:row>
      <xdr:rowOff>103733</xdr:rowOff>
    </xdr:to>
    <xdr:pic>
      <xdr:nvPicPr>
        <xdr:cNvPr id="182" name="Picture 181" descr="H-7NP_vignette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8823" r="12941"/>
        <a:stretch>
          <a:fillRect/>
        </a:stretch>
      </xdr:blipFill>
      <xdr:spPr>
        <a:xfrm>
          <a:off x="2429435" y="30748942"/>
          <a:ext cx="1004046" cy="950258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179294</xdr:colOff>
      <xdr:row>164</xdr:row>
      <xdr:rowOff>31377</xdr:rowOff>
    </xdr:from>
    <xdr:to>
      <xdr:col>16</xdr:col>
      <xdr:colOff>237563</xdr:colOff>
      <xdr:row>169</xdr:row>
      <xdr:rowOff>123903</xdr:rowOff>
    </xdr:to>
    <xdr:pic>
      <xdr:nvPicPr>
        <xdr:cNvPr id="183" name="Picture 182" descr="H-12NP_vignette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50659" y="30744459"/>
          <a:ext cx="1299881" cy="974911"/>
        </a:xfrm>
        <a:prstGeom prst="rect">
          <a:avLst/>
        </a:prstGeom>
      </xdr:spPr>
    </xdr:pic>
    <xdr:clientData/>
  </xdr:twoCellAnchor>
  <xdr:twoCellAnchor editAs="oneCell">
    <xdr:from>
      <xdr:col>18</xdr:col>
      <xdr:colOff>197224</xdr:colOff>
      <xdr:row>164</xdr:row>
      <xdr:rowOff>44823</xdr:rowOff>
    </xdr:from>
    <xdr:to>
      <xdr:col>21</xdr:col>
      <xdr:colOff>304801</xdr:colOff>
      <xdr:row>169</xdr:row>
      <xdr:rowOff>131417</xdr:rowOff>
    </xdr:to>
    <xdr:pic>
      <xdr:nvPicPr>
        <xdr:cNvPr id="184" name="Picture 183" descr="H-13NP_vignette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t="784" b="1176"/>
        <a:stretch>
          <a:fillRect/>
        </a:stretch>
      </xdr:blipFill>
      <xdr:spPr>
        <a:xfrm>
          <a:off x="6024283" y="30757905"/>
          <a:ext cx="1317812" cy="968979"/>
        </a:xfrm>
        <a:prstGeom prst="rect">
          <a:avLst/>
        </a:prstGeom>
      </xdr:spPr>
    </xdr:pic>
    <xdr:clientData/>
  </xdr:twoCellAnchor>
  <xdr:twoCellAnchor editAs="oneCell">
    <xdr:from>
      <xdr:col>23</xdr:col>
      <xdr:colOff>188259</xdr:colOff>
      <xdr:row>164</xdr:row>
      <xdr:rowOff>20171</xdr:rowOff>
    </xdr:from>
    <xdr:to>
      <xdr:col>26</xdr:col>
      <xdr:colOff>241404</xdr:colOff>
      <xdr:row>169</xdr:row>
      <xdr:rowOff>119421</xdr:rowOff>
    </xdr:to>
    <xdr:pic>
      <xdr:nvPicPr>
        <xdr:cNvPr id="185" name="Picture 184" descr="H-15NP_vignette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915835" y="30733253"/>
          <a:ext cx="1308847" cy="981635"/>
        </a:xfrm>
        <a:prstGeom prst="rect">
          <a:avLst/>
        </a:prstGeom>
      </xdr:spPr>
    </xdr:pic>
    <xdr:clientData/>
  </xdr:twoCellAnchor>
  <xdr:twoCellAnchor editAs="oneCell">
    <xdr:from>
      <xdr:col>3</xdr:col>
      <xdr:colOff>221129</xdr:colOff>
      <xdr:row>174</xdr:row>
      <xdr:rowOff>17929</xdr:rowOff>
    </xdr:from>
    <xdr:to>
      <xdr:col>6</xdr:col>
      <xdr:colOff>226733</xdr:colOff>
      <xdr:row>179</xdr:row>
      <xdr:rowOff>125506</xdr:rowOff>
    </xdr:to>
    <xdr:pic>
      <xdr:nvPicPr>
        <xdr:cNvPr id="186" name="Picture 185" descr="H-16NP_vignette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72141" y="32541882"/>
          <a:ext cx="1278966" cy="959224"/>
        </a:xfrm>
        <a:prstGeom prst="rect">
          <a:avLst/>
        </a:prstGeom>
      </xdr:spPr>
    </xdr:pic>
    <xdr:clientData/>
  </xdr:twoCellAnchor>
  <xdr:twoCellAnchor editAs="oneCell">
    <xdr:from>
      <xdr:col>18</xdr:col>
      <xdr:colOff>197223</xdr:colOff>
      <xdr:row>174</xdr:row>
      <xdr:rowOff>26894</xdr:rowOff>
    </xdr:from>
    <xdr:to>
      <xdr:col>21</xdr:col>
      <xdr:colOff>251012</xdr:colOff>
      <xdr:row>179</xdr:row>
      <xdr:rowOff>123265</xdr:rowOff>
    </xdr:to>
    <xdr:pic>
      <xdr:nvPicPr>
        <xdr:cNvPr id="187" name="Picture 186" descr="H-19NP_vignette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024282" y="32550847"/>
          <a:ext cx="1264024" cy="948018"/>
        </a:xfrm>
        <a:prstGeom prst="rect">
          <a:avLst/>
        </a:prstGeom>
      </xdr:spPr>
    </xdr:pic>
    <xdr:clientData/>
  </xdr:twoCellAnchor>
  <xdr:twoCellAnchor editAs="oneCell">
    <xdr:from>
      <xdr:col>23</xdr:col>
      <xdr:colOff>209175</xdr:colOff>
      <xdr:row>174</xdr:row>
      <xdr:rowOff>44823</xdr:rowOff>
    </xdr:from>
    <xdr:to>
      <xdr:col>26</xdr:col>
      <xdr:colOff>250368</xdr:colOff>
      <xdr:row>180</xdr:row>
      <xdr:rowOff>2564</xdr:rowOff>
    </xdr:to>
    <xdr:pic>
      <xdr:nvPicPr>
        <xdr:cNvPr id="188" name="Picture 187" descr="H-90NP_vignette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936751" y="32568776"/>
          <a:ext cx="1296895" cy="972672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287510</xdr:colOff>
      <xdr:row>113</xdr:row>
      <xdr:rowOff>72998</xdr:rowOff>
    </xdr:to>
    <xdr:pic>
      <xdr:nvPicPr>
        <xdr:cNvPr id="191" name="Picture 190" descr="HJ-2_vignette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72998</xdr:rowOff>
    </xdr:to>
    <xdr:pic>
      <xdr:nvPicPr>
        <xdr:cNvPr id="221" name="Picture 220" descr="HJ-3_vignette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412377</xdr:colOff>
      <xdr:row>113</xdr:row>
      <xdr:rowOff>108855</xdr:rowOff>
    </xdr:to>
    <xdr:pic>
      <xdr:nvPicPr>
        <xdr:cNvPr id="222" name="Picture 221" descr="HJ-4_vignette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375875</xdr:colOff>
      <xdr:row>113</xdr:row>
      <xdr:rowOff>89717</xdr:rowOff>
    </xdr:to>
    <xdr:pic>
      <xdr:nvPicPr>
        <xdr:cNvPr id="234" name="Picture 233" descr="HJ-5_vignette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304427</xdr:colOff>
      <xdr:row>124</xdr:row>
      <xdr:rowOff>34578</xdr:rowOff>
    </xdr:to>
    <xdr:pic>
      <xdr:nvPicPr>
        <xdr:cNvPr id="235" name="Picture 234" descr="HJ-6_vignette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215794</xdr:colOff>
      <xdr:row>124</xdr:row>
      <xdr:rowOff>33789</xdr:rowOff>
    </xdr:to>
    <xdr:pic>
      <xdr:nvPicPr>
        <xdr:cNvPr id="236" name="Picture 235" descr="HJ-6A_vignette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16649</xdr:rowOff>
    </xdr:to>
    <xdr:pic>
      <xdr:nvPicPr>
        <xdr:cNvPr id="237" name="Picture 236" descr="HJ-7_vignette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279682</xdr:colOff>
      <xdr:row>124</xdr:row>
      <xdr:rowOff>34578</xdr:rowOff>
    </xdr:to>
    <xdr:pic>
      <xdr:nvPicPr>
        <xdr:cNvPr id="238" name="Picture 237" descr="HJ-7A_vignette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71075</xdr:colOff>
      <xdr:row>124</xdr:row>
      <xdr:rowOff>32523</xdr:rowOff>
    </xdr:to>
    <xdr:pic>
      <xdr:nvPicPr>
        <xdr:cNvPr id="240" name="Picture 239" descr="HJ-8_vignette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71344</xdr:colOff>
      <xdr:row>135</xdr:row>
      <xdr:rowOff>56351</xdr:rowOff>
    </xdr:to>
    <xdr:pic>
      <xdr:nvPicPr>
        <xdr:cNvPr id="241" name="Picture 240" descr="HJ-9_vignette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242688</xdr:colOff>
      <xdr:row>135</xdr:row>
      <xdr:rowOff>47386</xdr:rowOff>
    </xdr:to>
    <xdr:pic>
      <xdr:nvPicPr>
        <xdr:cNvPr id="261" name="Picture 260" descr="HJ-12_vignette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65316</xdr:rowOff>
    </xdr:to>
    <xdr:pic>
      <xdr:nvPicPr>
        <xdr:cNvPr id="262" name="Picture 261" descr="HJ-13_vignette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412377</xdr:colOff>
      <xdr:row>135</xdr:row>
      <xdr:rowOff>47386</xdr:rowOff>
    </xdr:to>
    <xdr:pic>
      <xdr:nvPicPr>
        <xdr:cNvPr id="302" name="Picture 301" descr="HJ-14_vignette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106934</xdr:colOff>
      <xdr:row>135</xdr:row>
      <xdr:rowOff>44910</xdr:rowOff>
    </xdr:to>
    <xdr:pic>
      <xdr:nvPicPr>
        <xdr:cNvPr id="303" name="Picture 302" descr="HJ-15_vignette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187884</xdr:colOff>
      <xdr:row>146</xdr:row>
      <xdr:rowOff>56353</xdr:rowOff>
    </xdr:to>
    <xdr:pic>
      <xdr:nvPicPr>
        <xdr:cNvPr id="304" name="Picture 303" descr="HJ-17_vignette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117181</xdr:colOff>
      <xdr:row>146</xdr:row>
      <xdr:rowOff>69455</xdr:rowOff>
    </xdr:to>
    <xdr:pic>
      <xdr:nvPicPr>
        <xdr:cNvPr id="305" name="Picture 304" descr="HJ-19_vignette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232</xdr:row>
      <xdr:rowOff>26066</xdr:rowOff>
    </xdr:from>
    <xdr:to>
      <xdr:col>22</xdr:col>
      <xdr:colOff>2241</xdr:colOff>
      <xdr:row>237</xdr:row>
      <xdr:rowOff>137160</xdr:rowOff>
    </xdr:to>
    <xdr:pic>
      <xdr:nvPicPr>
        <xdr:cNvPr id="307" name="Picture 306" descr="Photo-AF-OSM_vignette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</xdr:colOff>
      <xdr:row>298</xdr:row>
      <xdr:rowOff>62752</xdr:rowOff>
    </xdr:from>
    <xdr:to>
      <xdr:col>6</xdr:col>
      <xdr:colOff>277532</xdr:colOff>
      <xdr:row>303</xdr:row>
      <xdr:rowOff>98612</xdr:rowOff>
    </xdr:to>
    <xdr:pic>
      <xdr:nvPicPr>
        <xdr:cNvPr id="308" name="Picture 307" descr="Photo-FL-COU14-100LBS_vignette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7059" b="15294"/>
        <a:stretch>
          <a:fillRect/>
        </a:stretch>
      </xdr:blipFill>
      <xdr:spPr>
        <a:xfrm>
          <a:off x="277906" y="56065270"/>
          <a:ext cx="1524000" cy="887506"/>
        </a:xfrm>
        <a:prstGeom prst="rect">
          <a:avLst/>
        </a:prstGeom>
      </xdr:spPr>
    </xdr:pic>
    <xdr:clientData/>
  </xdr:twoCellAnchor>
  <xdr:twoCellAnchor editAs="oneCell">
    <xdr:from>
      <xdr:col>8</xdr:col>
      <xdr:colOff>55711</xdr:colOff>
      <xdr:row>298</xdr:row>
      <xdr:rowOff>53788</xdr:rowOff>
    </xdr:from>
    <xdr:to>
      <xdr:col>11</xdr:col>
      <xdr:colOff>262540</xdr:colOff>
      <xdr:row>303</xdr:row>
      <xdr:rowOff>89648</xdr:rowOff>
    </xdr:to>
    <xdr:pic>
      <xdr:nvPicPr>
        <xdr:cNvPr id="309" name="Picture 308" descr="Photo-FL-COU14-100LBS_vignette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7059" b="15294"/>
        <a:stretch>
          <a:fillRect/>
        </a:stretch>
      </xdr:blipFill>
      <xdr:spPr>
        <a:xfrm>
          <a:off x="2243740" y="57824274"/>
          <a:ext cx="1525281" cy="85228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</xdr:colOff>
      <xdr:row>298</xdr:row>
      <xdr:rowOff>71717</xdr:rowOff>
    </xdr:from>
    <xdr:to>
      <xdr:col>16</xdr:col>
      <xdr:colOff>309282</xdr:colOff>
      <xdr:row>303</xdr:row>
      <xdr:rowOff>107577</xdr:rowOff>
    </xdr:to>
    <xdr:pic>
      <xdr:nvPicPr>
        <xdr:cNvPr id="310" name="Picture 309" descr="Photo-FL-COU14-100LBS_vignette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7059" b="15294"/>
        <a:stretch>
          <a:fillRect/>
        </a:stretch>
      </xdr:blipFill>
      <xdr:spPr>
        <a:xfrm>
          <a:off x="3998259" y="56074235"/>
          <a:ext cx="1524000" cy="887506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298</xdr:row>
      <xdr:rowOff>17928</xdr:rowOff>
    </xdr:from>
    <xdr:to>
      <xdr:col>21</xdr:col>
      <xdr:colOff>326753</xdr:colOff>
      <xdr:row>303</xdr:row>
      <xdr:rowOff>107575</xdr:rowOff>
    </xdr:to>
    <xdr:pic>
      <xdr:nvPicPr>
        <xdr:cNvPr id="311" name="Picture 310" descr="Photo-FL-COU-U_vignette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323</xdr:row>
      <xdr:rowOff>62754</xdr:rowOff>
    </xdr:from>
    <xdr:to>
      <xdr:col>16</xdr:col>
      <xdr:colOff>76199</xdr:colOff>
      <xdr:row>328</xdr:row>
      <xdr:rowOff>17290</xdr:rowOff>
    </xdr:to>
    <xdr:pic>
      <xdr:nvPicPr>
        <xdr:cNvPr id="312" name="Picture 311" descr="M6-12B_vignette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13</xdr:col>
      <xdr:colOff>259975</xdr:colOff>
      <xdr:row>334</xdr:row>
      <xdr:rowOff>143436</xdr:rowOff>
    </xdr:from>
    <xdr:to>
      <xdr:col>16</xdr:col>
      <xdr:colOff>112058</xdr:colOff>
      <xdr:row>338</xdr:row>
      <xdr:rowOff>155604</xdr:rowOff>
    </xdr:to>
    <xdr:pic>
      <xdr:nvPicPr>
        <xdr:cNvPr id="313" name="Picture 312" descr="M6-12BWZ_vignette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10588" t="21177" r="17647" b="13725"/>
        <a:stretch>
          <a:fillRect/>
        </a:stretch>
      </xdr:blipFill>
      <xdr:spPr>
        <a:xfrm>
          <a:off x="4231340" y="63344612"/>
          <a:ext cx="1093695" cy="744070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357</xdr:row>
      <xdr:rowOff>44824</xdr:rowOff>
    </xdr:from>
    <xdr:to>
      <xdr:col>26</xdr:col>
      <xdr:colOff>137065</xdr:colOff>
      <xdr:row>362</xdr:row>
      <xdr:rowOff>101974</xdr:rowOff>
    </xdr:to>
    <xdr:pic>
      <xdr:nvPicPr>
        <xdr:cNvPr id="314" name="Picture 313" descr="Photo-WF-LPLATE_vignette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357</xdr:row>
      <xdr:rowOff>53790</xdr:rowOff>
    </xdr:from>
    <xdr:to>
      <xdr:col>21</xdr:col>
      <xdr:colOff>187615</xdr:colOff>
      <xdr:row>362</xdr:row>
      <xdr:rowOff>116017</xdr:rowOff>
    </xdr:to>
    <xdr:pic>
      <xdr:nvPicPr>
        <xdr:cNvPr id="315" name="Picture 314" descr="Photo-WF-RPLATE_vignette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358589</xdr:colOff>
      <xdr:row>48</xdr:row>
      <xdr:rowOff>127112</xdr:rowOff>
    </xdr:to>
    <xdr:pic>
      <xdr:nvPicPr>
        <xdr:cNvPr id="316" name="Picture 315" descr="R40-CGUIDE_vignette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135111</xdr:colOff>
      <xdr:row>48</xdr:row>
      <xdr:rowOff>130628</xdr:rowOff>
    </xdr:to>
    <xdr:pic>
      <xdr:nvPicPr>
        <xdr:cNvPr id="317" name="Picture 316" descr="R40-CS_vignette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402769</xdr:colOff>
      <xdr:row>48</xdr:row>
      <xdr:rowOff>110777</xdr:rowOff>
    </xdr:to>
    <xdr:pic>
      <xdr:nvPicPr>
        <xdr:cNvPr id="319" name="Picture 318" descr="R40-GUIDE_vignette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288284</xdr:colOff>
      <xdr:row>38</xdr:row>
      <xdr:rowOff>101828</xdr:rowOff>
    </xdr:to>
    <xdr:pic>
      <xdr:nvPicPr>
        <xdr:cNvPr id="322" name="Picture 321" descr="R40-RT96_vignette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101812</xdr:rowOff>
    </xdr:to>
    <xdr:pic>
      <xdr:nvPicPr>
        <xdr:cNvPr id="323" name="Picture 322" descr="R40-SLOW_vignette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241404</xdr:colOff>
      <xdr:row>38</xdr:row>
      <xdr:rowOff>115294</xdr:rowOff>
    </xdr:to>
    <xdr:pic>
      <xdr:nvPicPr>
        <xdr:cNvPr id="324" name="Picture 323" descr="R40-TC_vignette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169956</xdr:colOff>
      <xdr:row>48</xdr:row>
      <xdr:rowOff>121714</xdr:rowOff>
    </xdr:to>
    <xdr:pic>
      <xdr:nvPicPr>
        <xdr:cNvPr id="326" name="Picture 325" descr="R40-TU_vignette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435</xdr:row>
      <xdr:rowOff>91015</xdr:rowOff>
    </xdr:from>
    <xdr:to>
      <xdr:col>11</xdr:col>
      <xdr:colOff>317126</xdr:colOff>
      <xdr:row>440</xdr:row>
      <xdr:rowOff>106565</xdr:rowOff>
    </xdr:to>
    <xdr:pic>
      <xdr:nvPicPr>
        <xdr:cNvPr id="327" name="Picture 326" descr="T-BCUT_vignette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425</xdr:row>
      <xdr:rowOff>8965</xdr:rowOff>
    </xdr:from>
    <xdr:to>
      <xdr:col>16</xdr:col>
      <xdr:colOff>228599</xdr:colOff>
      <xdr:row>430</xdr:row>
      <xdr:rowOff>102135</xdr:rowOff>
    </xdr:to>
    <xdr:pic>
      <xdr:nvPicPr>
        <xdr:cNvPr id="328" name="Picture 327" descr="T-BDEB_vignette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425</xdr:row>
      <xdr:rowOff>47343</xdr:rowOff>
    </xdr:from>
    <xdr:to>
      <xdr:col>26</xdr:col>
      <xdr:colOff>232439</xdr:colOff>
      <xdr:row>430</xdr:row>
      <xdr:rowOff>64035</xdr:rowOff>
    </xdr:to>
    <xdr:pic>
      <xdr:nvPicPr>
        <xdr:cNvPr id="329" name="Picture 328" descr="T-BSAW_vignette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425</xdr:row>
      <xdr:rowOff>18236</xdr:rowOff>
    </xdr:from>
    <xdr:to>
      <xdr:col>21</xdr:col>
      <xdr:colOff>226361</xdr:colOff>
      <xdr:row>430</xdr:row>
      <xdr:rowOff>140048</xdr:rowOff>
    </xdr:to>
    <xdr:pic>
      <xdr:nvPicPr>
        <xdr:cNvPr id="330" name="Picture 329" descr="T-SAW_4_vignette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435</xdr:row>
      <xdr:rowOff>8964</xdr:rowOff>
    </xdr:from>
    <xdr:to>
      <xdr:col>6</xdr:col>
      <xdr:colOff>295462</xdr:colOff>
      <xdr:row>440</xdr:row>
      <xdr:rowOff>89008</xdr:rowOff>
    </xdr:to>
    <xdr:pic>
      <xdr:nvPicPr>
        <xdr:cNvPr id="331" name="Picture 330" descr="T-CUTTER_vignette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425</xdr:row>
      <xdr:rowOff>17928</xdr:rowOff>
    </xdr:from>
    <xdr:to>
      <xdr:col>11</xdr:col>
      <xdr:colOff>293114</xdr:colOff>
      <xdr:row>430</xdr:row>
      <xdr:rowOff>19211</xdr:rowOff>
    </xdr:to>
    <xdr:pic>
      <xdr:nvPicPr>
        <xdr:cNvPr id="332" name="Picture 331" descr="T-DEBURR_vignette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435</xdr:row>
      <xdr:rowOff>83918</xdr:rowOff>
    </xdr:from>
    <xdr:to>
      <xdr:col>16</xdr:col>
      <xdr:colOff>105708</xdr:colOff>
      <xdr:row>440</xdr:row>
      <xdr:rowOff>159978</xdr:rowOff>
    </xdr:to>
    <xdr:pic>
      <xdr:nvPicPr>
        <xdr:cNvPr id="333" name="Picture 332" descr="T-HANDLE_vignette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425</xdr:row>
      <xdr:rowOff>17929</xdr:rowOff>
    </xdr:from>
    <xdr:to>
      <xdr:col>6</xdr:col>
      <xdr:colOff>196850</xdr:colOff>
      <xdr:row>430</xdr:row>
      <xdr:rowOff>90929</xdr:rowOff>
    </xdr:to>
    <xdr:pic>
      <xdr:nvPicPr>
        <xdr:cNvPr id="334" name="Picture 333" descr="T-REAMER_vignette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430307" y="81686400"/>
          <a:ext cx="1290917" cy="96818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381</xdr:row>
      <xdr:rowOff>32123</xdr:rowOff>
    </xdr:from>
    <xdr:to>
      <xdr:col>6</xdr:col>
      <xdr:colOff>324864</xdr:colOff>
      <xdr:row>386</xdr:row>
      <xdr:rowOff>135217</xdr:rowOff>
    </xdr:to>
    <xdr:pic>
      <xdr:nvPicPr>
        <xdr:cNvPr id="335" name="Picture 334" descr="W_3ESB_vignette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392</xdr:row>
      <xdr:rowOff>53789</xdr:rowOff>
    </xdr:from>
    <xdr:to>
      <xdr:col>11</xdr:col>
      <xdr:colOff>233723</xdr:colOff>
      <xdr:row>397</xdr:row>
      <xdr:rowOff>86446</xdr:rowOff>
    </xdr:to>
    <xdr:pic>
      <xdr:nvPicPr>
        <xdr:cNvPr id="339" name="Picture 338" descr="W-4PF_vignette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133600" y="74424989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53786</xdr:colOff>
      <xdr:row>392</xdr:row>
      <xdr:rowOff>35859</xdr:rowOff>
    </xdr:from>
    <xdr:to>
      <xdr:col>6</xdr:col>
      <xdr:colOff>304424</xdr:colOff>
      <xdr:row>397</xdr:row>
      <xdr:rowOff>68516</xdr:rowOff>
    </xdr:to>
    <xdr:pic>
      <xdr:nvPicPr>
        <xdr:cNvPr id="340" name="Picture 339" descr="W-4PSB_vignette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358586" y="7437120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154</xdr:row>
      <xdr:rowOff>35052</xdr:rowOff>
    </xdr:from>
    <xdr:to>
      <xdr:col>6</xdr:col>
      <xdr:colOff>303530</xdr:colOff>
      <xdr:row>159</xdr:row>
      <xdr:rowOff>140587</xdr:rowOff>
    </xdr:to>
    <xdr:pic>
      <xdr:nvPicPr>
        <xdr:cNvPr id="159" name="Picture 158" descr="H-1NP_vignette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18160" y="30964632"/>
          <a:ext cx="1432560" cy="936117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29585</xdr:colOff>
      <xdr:row>6</xdr:row>
      <xdr:rowOff>93191</xdr:rowOff>
    </xdr:to>
    <xdr:pic>
      <xdr:nvPicPr>
        <xdr:cNvPr id="171" name="Picture 170" descr="Flexpipe-Logo-Full-Signature-En-RGB-Blacksmaller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26504</xdr:rowOff>
    </xdr:from>
    <xdr:to>
      <xdr:col>16</xdr:col>
      <xdr:colOff>118100</xdr:colOff>
      <xdr:row>469</xdr:row>
      <xdr:rowOff>58325</xdr:rowOff>
    </xdr:to>
    <xdr:pic>
      <xdr:nvPicPr>
        <xdr:cNvPr id="103252" name="Picture 43860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361696</xdr:colOff>
      <xdr:row>17</xdr:row>
      <xdr:rowOff>17585</xdr:rowOff>
    </xdr:to>
    <xdr:pic>
      <xdr:nvPicPr>
        <xdr:cNvPr id="178" name="Picture 177" descr="Header.pn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11724</xdr:colOff>
      <xdr:row>446</xdr:row>
      <xdr:rowOff>1</xdr:rowOff>
    </xdr:from>
    <xdr:to>
      <xdr:col>27</xdr:col>
      <xdr:colOff>226876</xdr:colOff>
      <xdr:row>451</xdr:row>
      <xdr:rowOff>76201</xdr:rowOff>
    </xdr:to>
    <xdr:pic>
      <xdr:nvPicPr>
        <xdr:cNvPr id="179" name="Picture 178" descr="footer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1724" y="89341570"/>
          <a:ext cx="9736014" cy="1172308"/>
        </a:xfrm>
        <a:prstGeom prst="rect">
          <a:avLst/>
        </a:prstGeom>
      </xdr:spPr>
    </xdr:pic>
    <xdr:clientData/>
  </xdr:twoCellAnchor>
  <xdr:twoCellAnchor editAs="oneCell">
    <xdr:from>
      <xdr:col>3</xdr:col>
      <xdr:colOff>430306</xdr:colOff>
      <xdr:row>346</xdr:row>
      <xdr:rowOff>44824</xdr:rowOff>
    </xdr:from>
    <xdr:to>
      <xdr:col>6</xdr:col>
      <xdr:colOff>104127</xdr:colOff>
      <xdr:row>351</xdr:row>
      <xdr:rowOff>153003</xdr:rowOff>
    </xdr:to>
    <xdr:pic>
      <xdr:nvPicPr>
        <xdr:cNvPr id="176" name="Picture 175" descr="Photoshop-F-A858_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851647" y="68813083"/>
          <a:ext cx="937845" cy="959826"/>
        </a:xfrm>
        <a:prstGeom prst="rect">
          <a:avLst/>
        </a:prstGeom>
      </xdr:spPr>
    </xdr:pic>
    <xdr:clientData/>
  </xdr:twoCellAnchor>
  <xdr:twoCellAnchor editAs="oneCell">
    <xdr:from>
      <xdr:col>8</xdr:col>
      <xdr:colOff>519953</xdr:colOff>
      <xdr:row>346</xdr:row>
      <xdr:rowOff>17929</xdr:rowOff>
    </xdr:from>
    <xdr:to>
      <xdr:col>11</xdr:col>
      <xdr:colOff>134298</xdr:colOff>
      <xdr:row>351</xdr:row>
      <xdr:rowOff>111455</xdr:rowOff>
    </xdr:to>
    <xdr:pic>
      <xdr:nvPicPr>
        <xdr:cNvPr id="177" name="Picture 176" descr="Photoshop-F-C61_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779059" y="68786188"/>
          <a:ext cx="923192" cy="945173"/>
        </a:xfrm>
        <a:prstGeom prst="rect">
          <a:avLst/>
        </a:prstGeom>
      </xdr:spPr>
    </xdr:pic>
    <xdr:clientData/>
  </xdr:twoCellAnchor>
  <xdr:twoCellAnchor editAs="oneCell">
    <xdr:from>
      <xdr:col>13</xdr:col>
      <xdr:colOff>430306</xdr:colOff>
      <xdr:row>346</xdr:row>
      <xdr:rowOff>26894</xdr:rowOff>
    </xdr:from>
    <xdr:to>
      <xdr:col>16</xdr:col>
      <xdr:colOff>98614</xdr:colOff>
      <xdr:row>351</xdr:row>
      <xdr:rowOff>113094</xdr:rowOff>
    </xdr:to>
    <xdr:pic>
      <xdr:nvPicPr>
        <xdr:cNvPr id="189" name="Picture 188" descr="Photoshop-F-S812_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607859" y="68795153"/>
          <a:ext cx="914402" cy="937847"/>
        </a:xfrm>
        <a:prstGeom prst="rect">
          <a:avLst/>
        </a:prstGeom>
      </xdr:spPr>
    </xdr:pic>
    <xdr:clientData/>
  </xdr:twoCellAnchor>
  <xdr:twoCellAnchor editAs="oneCell">
    <xdr:from>
      <xdr:col>18</xdr:col>
      <xdr:colOff>227925</xdr:colOff>
      <xdr:row>392</xdr:row>
      <xdr:rowOff>8965</xdr:rowOff>
    </xdr:from>
    <xdr:to>
      <xdr:col>21</xdr:col>
      <xdr:colOff>206188</xdr:colOff>
      <xdr:row>397</xdr:row>
      <xdr:rowOff>138419</xdr:rowOff>
    </xdr:to>
    <xdr:pic>
      <xdr:nvPicPr>
        <xdr:cNvPr id="190" name="Picture 189" descr="Photoshop-W-6PSB_2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8823" t="7682" r="11029" b="5513"/>
        <a:stretch>
          <a:fillRect/>
        </a:stretch>
      </xdr:blipFill>
      <xdr:spPr>
        <a:xfrm>
          <a:off x="6225313" y="78145341"/>
          <a:ext cx="1188499" cy="1232113"/>
        </a:xfrm>
        <a:prstGeom prst="rect">
          <a:avLst/>
        </a:prstGeom>
      </xdr:spPr>
    </xdr:pic>
    <xdr:clientData/>
  </xdr:twoCellAnchor>
  <xdr:twoCellAnchor editAs="oneCell">
    <xdr:from>
      <xdr:col>23</xdr:col>
      <xdr:colOff>340658</xdr:colOff>
      <xdr:row>392</xdr:row>
      <xdr:rowOff>35859</xdr:rowOff>
    </xdr:from>
    <xdr:to>
      <xdr:col>26</xdr:col>
      <xdr:colOff>126183</xdr:colOff>
      <xdr:row>397</xdr:row>
      <xdr:rowOff>121803</xdr:rowOff>
    </xdr:to>
    <xdr:pic>
      <xdr:nvPicPr>
        <xdr:cNvPr id="192" name="Picture 191" descr="Photoshop-W-6PF_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l="13747" t="9660" r="15987" b="5015"/>
        <a:stretch>
          <a:fillRect/>
        </a:stretch>
      </xdr:blipFill>
      <xdr:spPr>
        <a:xfrm>
          <a:off x="8122023" y="78172235"/>
          <a:ext cx="1031618" cy="1188603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415</xdr:row>
      <xdr:rowOff>17930</xdr:rowOff>
    </xdr:from>
    <xdr:to>
      <xdr:col>11</xdr:col>
      <xdr:colOff>268941</xdr:colOff>
      <xdr:row>420</xdr:row>
      <xdr:rowOff>154731</xdr:rowOff>
    </xdr:to>
    <xdr:pic>
      <xdr:nvPicPr>
        <xdr:cNvPr id="193" name="Picture 192" descr="On site Training_vignette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98611</xdr:colOff>
      <xdr:row>38</xdr:row>
      <xdr:rowOff>169791</xdr:rowOff>
    </xdr:to>
    <xdr:pic>
      <xdr:nvPicPr>
        <xdr:cNvPr id="195" name="Picture 194" descr="R40-MS_vignette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158494</xdr:rowOff>
    </xdr:to>
    <xdr:pic>
      <xdr:nvPicPr>
        <xdr:cNvPr id="196" name="Picture 195" descr="R40-TS_vignette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251010</xdr:colOff>
      <xdr:row>38</xdr:row>
      <xdr:rowOff>137126</xdr:rowOff>
    </xdr:to>
    <xdr:pic>
      <xdr:nvPicPr>
        <xdr:cNvPr id="197" name="Picture 196" descr="R40-DS_vignette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546847</xdr:colOff>
      <xdr:row>381</xdr:row>
      <xdr:rowOff>44823</xdr:rowOff>
    </xdr:from>
    <xdr:to>
      <xdr:col>10</xdr:col>
      <xdr:colOff>267148</xdr:colOff>
      <xdr:row>386</xdr:row>
      <xdr:rowOff>107576</xdr:rowOff>
    </xdr:to>
    <xdr:pic>
      <xdr:nvPicPr>
        <xdr:cNvPr id="194" name="Picture 193" descr="W_3EF_vignettte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779059" y="76253788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537883</xdr:colOff>
      <xdr:row>381</xdr:row>
      <xdr:rowOff>32169</xdr:rowOff>
    </xdr:from>
    <xdr:to>
      <xdr:col>25</xdr:col>
      <xdr:colOff>254238</xdr:colOff>
      <xdr:row>386</xdr:row>
      <xdr:rowOff>134471</xdr:rowOff>
    </xdr:to>
    <xdr:pic>
      <xdr:nvPicPr>
        <xdr:cNvPr id="198" name="Picture 197" descr="W_4EF_vignette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274424" y="76241134"/>
          <a:ext cx="648685" cy="953949"/>
        </a:xfrm>
        <a:prstGeom prst="rect">
          <a:avLst/>
        </a:prstGeom>
      </xdr:spPr>
    </xdr:pic>
    <xdr:clientData/>
  </xdr:twoCellAnchor>
  <xdr:twoCellAnchor editAs="oneCell">
    <xdr:from>
      <xdr:col>18</xdr:col>
      <xdr:colOff>436044</xdr:colOff>
      <xdr:row>381</xdr:row>
      <xdr:rowOff>35859</xdr:rowOff>
    </xdr:from>
    <xdr:to>
      <xdr:col>21</xdr:col>
      <xdr:colOff>24025</xdr:colOff>
      <xdr:row>386</xdr:row>
      <xdr:rowOff>134470</xdr:rowOff>
    </xdr:to>
    <xdr:pic>
      <xdr:nvPicPr>
        <xdr:cNvPr id="199" name="Picture 198" descr="W-4ESB_vignette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6397573" y="76244824"/>
          <a:ext cx="798217" cy="950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417321" cy="4908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1"/>
  <dimension ref="A1:AH476"/>
  <sheetViews>
    <sheetView showGridLines="0" tabSelected="1" zoomScale="85" zoomScaleNormal="85" zoomScaleSheetLayoutView="100" workbookViewId="0">
      <pane ySplit="1" topLeftCell="A2" activePane="bottomLeft" state="frozen"/>
      <selection pane="bottomLeft" activeCell="N4" sqref="N4"/>
    </sheetView>
  </sheetViews>
  <sheetFormatPr defaultColWidth="10.710937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.28515625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.28515625" style="188" customWidth="1"/>
    <col min="10" max="10" width="4.5703125" style="188" customWidth="1"/>
    <col min="11" max="11" width="5.28515625" style="188" customWidth="1"/>
    <col min="12" max="12" width="7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8.5703125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422" customWidth="1"/>
    <col min="29" max="29" width="10.7109375" style="206"/>
    <col min="30" max="16384" width="10.7109375" style="189"/>
  </cols>
  <sheetData>
    <row r="1" spans="1:29" s="187" customFormat="1" ht="27" customHeight="1">
      <c r="A1" s="606"/>
      <c r="B1" s="432"/>
      <c r="C1" s="679" t="s">
        <v>652</v>
      </c>
      <c r="D1" s="485"/>
      <c r="E1" s="485"/>
      <c r="F1" s="485"/>
      <c r="G1" s="485"/>
      <c r="H1" s="485"/>
      <c r="I1" s="485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7"/>
      <c r="U1" s="1013" t="s">
        <v>614</v>
      </c>
      <c r="V1" s="1013"/>
      <c r="W1" s="1013"/>
      <c r="X1" s="1013"/>
      <c r="Y1" s="605"/>
      <c r="Z1" s="681">
        <f>Y469</f>
        <v>25</v>
      </c>
      <c r="AA1" s="682"/>
      <c r="AB1" s="488"/>
      <c r="AC1" s="444"/>
    </row>
    <row r="2" spans="1:29"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</row>
    <row r="3" spans="1:29" ht="27" customHeight="1"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436" t="s">
        <v>615</v>
      </c>
      <c r="W3" s="281"/>
      <c r="X3" s="281"/>
      <c r="Y3" s="281"/>
      <c r="Z3" s="281"/>
      <c r="AA3" s="281"/>
      <c r="AB3" s="281"/>
    </row>
    <row r="4" spans="1:29" ht="15"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433" t="s">
        <v>616</v>
      </c>
      <c r="V4" s="435"/>
      <c r="W4" s="433"/>
      <c r="X4" s="433"/>
      <c r="Y4" s="433"/>
      <c r="Z4" s="433"/>
      <c r="AA4" s="433"/>
      <c r="AB4" s="281"/>
    </row>
    <row r="5" spans="1:29" ht="15"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433" t="s">
        <v>617</v>
      </c>
      <c r="V5" s="435"/>
      <c r="W5" s="433"/>
      <c r="X5" s="433"/>
      <c r="Y5" s="433"/>
      <c r="Z5" s="433"/>
      <c r="AA5" s="281"/>
      <c r="AB5" s="281"/>
    </row>
    <row r="6" spans="1:29" ht="15.75"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434" t="s">
        <v>618</v>
      </c>
      <c r="V6" s="435"/>
      <c r="W6" s="433"/>
      <c r="X6" s="433"/>
      <c r="Y6" s="433"/>
      <c r="Z6" s="433"/>
      <c r="AA6" s="433"/>
      <c r="AB6" s="281"/>
    </row>
    <row r="7" spans="1:29" ht="27" customHeight="1"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</row>
    <row r="8" spans="1:29" ht="34.9" customHeight="1">
      <c r="A8" s="496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</row>
    <row r="9" spans="1:29" ht="4.1500000000000004" customHeight="1">
      <c r="A9" s="496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  <c r="AB9" s="265"/>
    </row>
    <row r="10" spans="1:29">
      <c r="A10" s="496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</row>
    <row r="11" spans="1:29">
      <c r="A11" s="496"/>
      <c r="B11" s="265"/>
      <c r="C11" s="265"/>
      <c r="D11" s="704"/>
      <c r="E11" s="705"/>
      <c r="F11" s="705"/>
      <c r="G11" s="705"/>
      <c r="H11" s="705"/>
      <c r="I11" s="265"/>
      <c r="J11" s="703"/>
      <c r="K11" s="702"/>
      <c r="L11" s="702"/>
      <c r="M11" s="702"/>
      <c r="N11" s="702"/>
      <c r="O11" s="265"/>
      <c r="P11" s="265"/>
      <c r="Q11" s="706"/>
      <c r="R11" s="707"/>
      <c r="S11" s="707"/>
      <c r="T11" s="707"/>
      <c r="U11" s="707"/>
      <c r="V11" s="265"/>
      <c r="W11" s="701"/>
      <c r="X11" s="702"/>
      <c r="Y11" s="702"/>
      <c r="Z11" s="702"/>
      <c r="AA11" s="702"/>
      <c r="AB11" s="265"/>
    </row>
    <row r="12" spans="1:29">
      <c r="A12" s="496"/>
      <c r="B12" s="265"/>
      <c r="C12" s="265"/>
      <c r="D12" s="705"/>
      <c r="E12" s="705"/>
      <c r="F12" s="705"/>
      <c r="G12" s="705"/>
      <c r="H12" s="705"/>
      <c r="I12" s="265"/>
      <c r="J12" s="702"/>
      <c r="K12" s="702"/>
      <c r="L12" s="702"/>
      <c r="M12" s="702"/>
      <c r="N12" s="702"/>
      <c r="O12" s="265"/>
      <c r="P12" s="265"/>
      <c r="Q12" s="707"/>
      <c r="R12" s="707"/>
      <c r="S12" s="707"/>
      <c r="T12" s="707"/>
      <c r="U12" s="707"/>
      <c r="V12" s="265"/>
      <c r="W12" s="702"/>
      <c r="X12" s="702"/>
      <c r="Y12" s="702"/>
      <c r="Z12" s="702"/>
      <c r="AA12" s="702"/>
      <c r="AB12" s="265"/>
    </row>
    <row r="13" spans="1:29">
      <c r="A13" s="496"/>
      <c r="B13" s="265"/>
      <c r="C13" s="265"/>
      <c r="D13" s="705"/>
      <c r="E13" s="705"/>
      <c r="F13" s="705"/>
      <c r="G13" s="705"/>
      <c r="H13" s="705"/>
      <c r="I13" s="265"/>
      <c r="J13" s="702"/>
      <c r="K13" s="702"/>
      <c r="L13" s="702"/>
      <c r="M13" s="702"/>
      <c r="N13" s="702"/>
      <c r="O13" s="265"/>
      <c r="P13" s="265"/>
      <c r="Q13" s="707"/>
      <c r="R13" s="707"/>
      <c r="S13" s="707"/>
      <c r="T13" s="707"/>
      <c r="U13" s="707"/>
      <c r="V13" s="265"/>
      <c r="W13" s="702"/>
      <c r="X13" s="702"/>
      <c r="Y13" s="702"/>
      <c r="Z13" s="702"/>
      <c r="AA13" s="702"/>
      <c r="AB13" s="265"/>
    </row>
    <row r="14" spans="1:29">
      <c r="A14" s="496"/>
      <c r="B14" s="265"/>
      <c r="C14" s="265"/>
      <c r="D14" s="705"/>
      <c r="E14" s="705"/>
      <c r="F14" s="705"/>
      <c r="G14" s="705"/>
      <c r="H14" s="705"/>
      <c r="I14" s="265"/>
      <c r="J14" s="702"/>
      <c r="K14" s="702"/>
      <c r="L14" s="702"/>
      <c r="M14" s="702"/>
      <c r="N14" s="702"/>
      <c r="O14" s="265"/>
      <c r="P14" s="265"/>
      <c r="Q14" s="707"/>
      <c r="R14" s="707"/>
      <c r="S14" s="707"/>
      <c r="T14" s="707"/>
      <c r="U14" s="707"/>
      <c r="V14" s="265"/>
      <c r="W14" s="265"/>
      <c r="X14" s="265"/>
      <c r="Y14" s="265"/>
      <c r="Z14" s="265"/>
      <c r="AA14" s="265"/>
      <c r="AB14" s="265"/>
    </row>
    <row r="15" spans="1:29" s="190" customFormat="1" ht="5.65" customHeight="1">
      <c r="A15" s="497"/>
      <c r="B15" s="431"/>
      <c r="C15" s="431"/>
      <c r="D15" s="431"/>
      <c r="E15" s="431"/>
      <c r="F15" s="431"/>
      <c r="G15" s="431"/>
      <c r="H15" s="431"/>
      <c r="I15" s="431"/>
      <c r="J15" s="702"/>
      <c r="K15" s="702"/>
      <c r="L15" s="702"/>
      <c r="M15" s="702"/>
      <c r="N15" s="702"/>
      <c r="O15" s="431"/>
      <c r="P15" s="431"/>
      <c r="Q15" s="707"/>
      <c r="R15" s="707"/>
      <c r="S15" s="707"/>
      <c r="T15" s="707"/>
      <c r="U15" s="707"/>
      <c r="V15" s="431"/>
      <c r="W15" s="431"/>
      <c r="X15" s="431"/>
      <c r="Y15" s="431"/>
      <c r="Z15" s="431"/>
      <c r="AA15" s="431"/>
      <c r="AB15" s="431"/>
      <c r="AC15" s="445"/>
    </row>
    <row r="16" spans="1:29" ht="18.75">
      <c r="A16" s="496"/>
      <c r="B16" s="429"/>
      <c r="C16" s="429"/>
      <c r="D16" s="1087"/>
      <c r="E16" s="1088"/>
      <c r="F16" s="1088"/>
      <c r="G16" s="1088"/>
      <c r="H16" s="1088"/>
      <c r="I16" s="430"/>
      <c r="J16" s="1087"/>
      <c r="K16" s="1088"/>
      <c r="L16" s="1088"/>
      <c r="M16" s="1088"/>
      <c r="N16" s="1088"/>
      <c r="O16" s="430"/>
      <c r="P16" s="430"/>
      <c r="Q16" s="1087"/>
      <c r="R16" s="1088"/>
      <c r="S16" s="1088"/>
      <c r="T16" s="1088"/>
      <c r="U16" s="1088"/>
      <c r="V16" s="430"/>
      <c r="W16" s="1087"/>
      <c r="X16" s="1088"/>
      <c r="Y16" s="1088"/>
      <c r="Z16" s="1088"/>
      <c r="AA16" s="1088"/>
      <c r="AB16" s="430"/>
    </row>
    <row r="17" spans="1:29" ht="5.0999999999999996" customHeight="1">
      <c r="A17" s="496"/>
      <c r="B17" s="437"/>
      <c r="C17" s="437"/>
      <c r="D17" s="1088"/>
      <c r="E17" s="1088"/>
      <c r="F17" s="1088"/>
      <c r="G17" s="1088"/>
      <c r="H17" s="1088"/>
      <c r="I17" s="489"/>
      <c r="J17" s="1088"/>
      <c r="K17" s="1088"/>
      <c r="L17" s="1088"/>
      <c r="M17" s="1088"/>
      <c r="N17" s="1088"/>
      <c r="O17" s="489"/>
      <c r="P17" s="489"/>
      <c r="Q17" s="1088"/>
      <c r="R17" s="1088"/>
      <c r="S17" s="1088"/>
      <c r="T17" s="1088"/>
      <c r="U17" s="1088"/>
      <c r="V17" s="489"/>
      <c r="W17" s="1088"/>
      <c r="X17" s="1088"/>
      <c r="Y17" s="1088"/>
      <c r="Z17" s="1088"/>
      <c r="AA17" s="1088"/>
      <c r="AB17" s="437"/>
    </row>
    <row r="18" spans="1:29" ht="34.9" customHeight="1">
      <c r="A18" s="496"/>
      <c r="B18" s="265"/>
      <c r="C18" s="265"/>
      <c r="D18" s="278"/>
      <c r="E18" s="278"/>
      <c r="F18" s="278"/>
      <c r="G18" s="278"/>
      <c r="H18" s="278"/>
      <c r="I18" s="278"/>
      <c r="J18" s="278"/>
      <c r="K18" s="278"/>
      <c r="L18" s="278"/>
      <c r="M18" s="271"/>
      <c r="N18" s="271"/>
      <c r="O18" s="271"/>
      <c r="P18" s="271"/>
      <c r="Q18" s="271"/>
      <c r="R18" s="278"/>
      <c r="S18" s="278"/>
      <c r="T18" s="278"/>
      <c r="U18" s="278"/>
      <c r="V18" s="271"/>
      <c r="W18" s="278"/>
      <c r="X18" s="278"/>
      <c r="Y18" s="278"/>
      <c r="Z18" s="278"/>
      <c r="AA18" s="271"/>
      <c r="AB18" s="271"/>
    </row>
    <row r="19" spans="1:29" s="190" customFormat="1" ht="27" customHeight="1">
      <c r="A19" s="497"/>
      <c r="B19" s="431"/>
      <c r="C19" s="279"/>
      <c r="D19" s="730" t="s">
        <v>18</v>
      </c>
      <c r="E19" s="730"/>
      <c r="F19" s="730"/>
      <c r="G19" s="730"/>
      <c r="H19" s="730"/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  <c r="AA19" s="730"/>
      <c r="AB19" s="431"/>
      <c r="AC19" s="445"/>
    </row>
    <row r="20" spans="1:29" ht="27" customHeight="1">
      <c r="A20" s="496"/>
      <c r="B20" s="1001" t="s">
        <v>244</v>
      </c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  <c r="P20" s="1001"/>
      <c r="Q20" s="1001"/>
      <c r="R20" s="1001"/>
      <c r="S20" s="1001"/>
      <c r="T20" s="1001"/>
      <c r="U20" s="1001"/>
      <c r="V20" s="1001"/>
      <c r="W20" s="1001"/>
      <c r="X20" s="1001"/>
      <c r="Y20" s="1001"/>
      <c r="Z20" s="1001"/>
      <c r="AA20" s="1001"/>
      <c r="AB20" s="1001"/>
    </row>
    <row r="21" spans="1:29" ht="27" customHeight="1">
      <c r="A21" s="496"/>
      <c r="B21" s="265"/>
      <c r="C21" s="265"/>
      <c r="D21" s="1091" t="s">
        <v>426</v>
      </c>
      <c r="E21" s="1092"/>
      <c r="F21" s="1092"/>
      <c r="G21" s="1092"/>
      <c r="H21" s="1092"/>
      <c r="I21" s="1092"/>
      <c r="J21" s="1092"/>
      <c r="K21" s="1092"/>
      <c r="L21" s="1092"/>
      <c r="M21" s="1092"/>
      <c r="N21" s="1092"/>
      <c r="O21" s="1093"/>
      <c r="P21" s="281"/>
      <c r="Q21" s="281"/>
      <c r="R21" s="282"/>
      <c r="S21" s="282"/>
      <c r="T21" s="1018"/>
      <c r="U21" s="1018"/>
      <c r="V21" s="1018"/>
      <c r="W21" s="1018"/>
      <c r="X21" s="1018"/>
      <c r="Y21" s="1018"/>
      <c r="Z21" s="1018"/>
      <c r="AA21" s="1018"/>
      <c r="AB21" s="265"/>
    </row>
    <row r="22" spans="1:29" s="528" customFormat="1" ht="16.899999999999999" customHeight="1">
      <c r="A22" s="524"/>
      <c r="B22" s="525"/>
      <c r="C22" s="525"/>
      <c r="D22" s="1104" t="s">
        <v>235</v>
      </c>
      <c r="E22" s="1105"/>
      <c r="F22" s="1106"/>
      <c r="G22" s="1078"/>
      <c r="H22" s="1078"/>
      <c r="I22" s="999" t="s">
        <v>631</v>
      </c>
      <c r="J22" s="999"/>
      <c r="K22" s="1000"/>
      <c r="L22" s="1094">
        <v>7.25</v>
      </c>
      <c r="M22" s="1095"/>
      <c r="N22" s="1096">
        <v>0</v>
      </c>
      <c r="O22" s="1097"/>
      <c r="P22" s="526"/>
      <c r="Q22" s="526"/>
      <c r="R22" s="1015"/>
      <c r="S22" s="1015"/>
      <c r="T22" s="1024"/>
      <c r="U22" s="1024"/>
      <c r="V22" s="1024"/>
      <c r="W22" s="1024"/>
      <c r="X22" s="1019"/>
      <c r="Y22" s="1019"/>
      <c r="Z22" s="1019"/>
      <c r="AA22" s="1019"/>
      <c r="AB22" s="525"/>
      <c r="AC22" s="527"/>
    </row>
    <row r="23" spans="1:29" s="528" customFormat="1" ht="16.899999999999999" customHeight="1">
      <c r="A23" s="524"/>
      <c r="B23" s="525"/>
      <c r="C23" s="525"/>
      <c r="D23" s="1038" t="s">
        <v>515</v>
      </c>
      <c r="E23" s="1107"/>
      <c r="F23" s="1040"/>
      <c r="G23" s="1080"/>
      <c r="H23" s="1046"/>
      <c r="I23" s="999" t="s">
        <v>631</v>
      </c>
      <c r="J23" s="999"/>
      <c r="K23" s="1000"/>
      <c r="L23" s="1094">
        <v>7.25</v>
      </c>
      <c r="M23" s="1095"/>
      <c r="N23" s="1098">
        <v>0</v>
      </c>
      <c r="O23" s="1099"/>
      <c r="P23" s="526"/>
      <c r="Q23" s="526"/>
      <c r="R23" s="529"/>
      <c r="S23" s="529"/>
      <c r="T23" s="530"/>
      <c r="U23" s="530"/>
      <c r="V23" s="530"/>
      <c r="W23" s="530"/>
      <c r="X23" s="531"/>
      <c r="Y23" s="531"/>
      <c r="Z23" s="531"/>
      <c r="AA23" s="531"/>
      <c r="AB23" s="525"/>
      <c r="AC23" s="527"/>
    </row>
    <row r="24" spans="1:29" s="528" customFormat="1" ht="16.899999999999999" customHeight="1">
      <c r="A24" s="524"/>
      <c r="B24" s="532"/>
      <c r="C24" s="532"/>
      <c r="D24" s="1038" t="s">
        <v>236</v>
      </c>
      <c r="E24" s="1039"/>
      <c r="F24" s="1040"/>
      <c r="G24" s="1079"/>
      <c r="H24" s="1079"/>
      <c r="I24" s="999" t="s">
        <v>631</v>
      </c>
      <c r="J24" s="999"/>
      <c r="K24" s="1000"/>
      <c r="L24" s="1094">
        <v>7.25</v>
      </c>
      <c r="M24" s="1095"/>
      <c r="N24" s="1100">
        <v>0</v>
      </c>
      <c r="O24" s="1101"/>
      <c r="P24" s="526"/>
      <c r="Q24" s="526"/>
      <c r="R24" s="1015"/>
      <c r="S24" s="1015"/>
      <c r="T24" s="1006"/>
      <c r="U24" s="1006"/>
      <c r="V24" s="1006"/>
      <c r="W24" s="1006"/>
      <c r="X24" s="1012"/>
      <c r="Y24" s="1012"/>
      <c r="Z24" s="1012"/>
      <c r="AA24" s="1012"/>
      <c r="AB24" s="525"/>
      <c r="AC24" s="527"/>
    </row>
    <row r="25" spans="1:29" s="528" customFormat="1" ht="16.899999999999999" customHeight="1">
      <c r="A25" s="524"/>
      <c r="B25" s="525"/>
      <c r="C25" s="525"/>
      <c r="D25" s="1038" t="s">
        <v>237</v>
      </c>
      <c r="E25" s="1039"/>
      <c r="F25" s="1040"/>
      <c r="G25" s="1081"/>
      <c r="H25" s="1081"/>
      <c r="I25" s="999" t="s">
        <v>631</v>
      </c>
      <c r="J25" s="999"/>
      <c r="K25" s="1000"/>
      <c r="L25" s="1094">
        <v>7.25</v>
      </c>
      <c r="M25" s="1095"/>
      <c r="N25" s="1100">
        <v>0</v>
      </c>
      <c r="O25" s="1101"/>
      <c r="P25" s="526"/>
      <c r="Q25" s="526"/>
      <c r="R25" s="1015"/>
      <c r="S25" s="1015"/>
      <c r="T25" s="1006"/>
      <c r="U25" s="1006"/>
      <c r="V25" s="1006"/>
      <c r="W25" s="1006"/>
      <c r="X25" s="1012"/>
      <c r="Y25" s="1012"/>
      <c r="Z25" s="1012"/>
      <c r="AA25" s="1012"/>
      <c r="AB25" s="525"/>
      <c r="AC25" s="527"/>
    </row>
    <row r="26" spans="1:29" s="528" customFormat="1" ht="16.899999999999999" customHeight="1">
      <c r="A26" s="524"/>
      <c r="B26" s="525"/>
      <c r="C26" s="525"/>
      <c r="D26" s="1038" t="s">
        <v>239</v>
      </c>
      <c r="E26" s="1039"/>
      <c r="F26" s="1040"/>
      <c r="G26" s="1044"/>
      <c r="H26" s="1044"/>
      <c r="I26" s="999" t="s">
        <v>631</v>
      </c>
      <c r="J26" s="999"/>
      <c r="K26" s="1000"/>
      <c r="L26" s="1094">
        <v>7.25</v>
      </c>
      <c r="M26" s="1095"/>
      <c r="N26" s="1100">
        <v>0</v>
      </c>
      <c r="O26" s="1101"/>
      <c r="P26" s="526"/>
      <c r="Q26" s="526"/>
      <c r="R26" s="1015"/>
      <c r="S26" s="1015"/>
      <c r="T26" s="1006"/>
      <c r="U26" s="1006"/>
      <c r="V26" s="1006"/>
      <c r="W26" s="1006"/>
      <c r="X26" s="1012"/>
      <c r="Y26" s="1012"/>
      <c r="Z26" s="1012"/>
      <c r="AA26" s="1012"/>
      <c r="AB26" s="525"/>
      <c r="AC26" s="527"/>
    </row>
    <row r="27" spans="1:29" s="528" customFormat="1" ht="16.899999999999999" customHeight="1">
      <c r="A27" s="524"/>
      <c r="B27" s="525"/>
      <c r="C27" s="525"/>
      <c r="D27" s="1038" t="s">
        <v>272</v>
      </c>
      <c r="E27" s="1039"/>
      <c r="F27" s="1040"/>
      <c r="G27" s="1045"/>
      <c r="H27" s="1046"/>
      <c r="I27" s="999" t="s">
        <v>631</v>
      </c>
      <c r="J27" s="999"/>
      <c r="K27" s="1000"/>
      <c r="L27" s="1094">
        <v>7.25</v>
      </c>
      <c r="M27" s="1095"/>
      <c r="N27" s="1102">
        <v>0</v>
      </c>
      <c r="O27" s="1103"/>
      <c r="P27" s="526"/>
      <c r="Q27" s="526"/>
      <c r="R27" s="529"/>
      <c r="S27" s="529"/>
      <c r="T27" s="1006"/>
      <c r="U27" s="1006"/>
      <c r="V27" s="1006"/>
      <c r="W27" s="1006"/>
      <c r="X27" s="1012"/>
      <c r="Y27" s="1012"/>
      <c r="Z27" s="1012"/>
      <c r="AA27" s="1012"/>
      <c r="AB27" s="525"/>
      <c r="AC27" s="527"/>
    </row>
    <row r="28" spans="1:29" s="528" customFormat="1" ht="16.899999999999999" customHeight="1">
      <c r="A28" s="524"/>
      <c r="B28" s="525"/>
      <c r="C28" s="525"/>
      <c r="D28" s="1038" t="s">
        <v>238</v>
      </c>
      <c r="E28" s="1039"/>
      <c r="F28" s="1040"/>
      <c r="G28" s="1082"/>
      <c r="H28" s="1082"/>
      <c r="I28" s="999" t="s">
        <v>633</v>
      </c>
      <c r="J28" s="999"/>
      <c r="K28" s="1000"/>
      <c r="L28" s="1094">
        <v>7.25</v>
      </c>
      <c r="M28" s="1095"/>
      <c r="N28" s="1100">
        <v>0</v>
      </c>
      <c r="O28" s="1101"/>
      <c r="P28" s="526"/>
      <c r="Q28" s="526"/>
      <c r="R28" s="952"/>
      <c r="S28" s="952"/>
      <c r="T28" s="1006"/>
      <c r="U28" s="1006"/>
      <c r="V28" s="1006"/>
      <c r="W28" s="1006"/>
      <c r="X28" s="1006"/>
      <c r="Y28" s="1006"/>
      <c r="Z28" s="1006"/>
      <c r="AA28" s="1006"/>
      <c r="AB28" s="525"/>
      <c r="AC28" s="527"/>
    </row>
    <row r="29" spans="1:29" s="528" customFormat="1" ht="16.899999999999999" customHeight="1">
      <c r="A29" s="524"/>
      <c r="B29" s="525"/>
      <c r="C29" s="525"/>
      <c r="D29" s="1038" t="s">
        <v>482</v>
      </c>
      <c r="E29" s="1039"/>
      <c r="F29" s="1040"/>
      <c r="G29" s="1083"/>
      <c r="H29" s="1083"/>
      <c r="I29" s="999" t="s">
        <v>634</v>
      </c>
      <c r="J29" s="999"/>
      <c r="K29" s="1000"/>
      <c r="L29" s="1094">
        <v>7.25</v>
      </c>
      <c r="M29" s="1095"/>
      <c r="N29" s="1100">
        <v>0</v>
      </c>
      <c r="O29" s="1101"/>
      <c r="P29" s="526"/>
      <c r="Q29" s="526"/>
      <c r="R29" s="533"/>
      <c r="S29" s="533"/>
      <c r="T29" s="951"/>
      <c r="U29" s="951"/>
      <c r="V29" s="951"/>
      <c r="W29" s="951"/>
      <c r="X29" s="951"/>
      <c r="Y29" s="951"/>
      <c r="Z29" s="951"/>
      <c r="AA29" s="951"/>
      <c r="AB29" s="525"/>
      <c r="AC29" s="527"/>
    </row>
    <row r="30" spans="1:29" s="528" customFormat="1" ht="16.899999999999999" customHeight="1" thickBot="1">
      <c r="A30" s="524"/>
      <c r="B30" s="525"/>
      <c r="C30" s="525"/>
      <c r="D30" s="1041" t="s">
        <v>507</v>
      </c>
      <c r="E30" s="1042"/>
      <c r="F30" s="1043"/>
      <c r="G30" s="1084"/>
      <c r="H30" s="1046"/>
      <c r="I30" s="999" t="s">
        <v>578</v>
      </c>
      <c r="J30" s="999"/>
      <c r="K30" s="1000"/>
      <c r="L30" s="1094">
        <v>13</v>
      </c>
      <c r="M30" s="1095"/>
      <c r="N30" s="1100">
        <v>0</v>
      </c>
      <c r="O30" s="1101"/>
      <c r="P30" s="526"/>
      <c r="Q30" s="526"/>
      <c r="R30" s="533"/>
      <c r="S30" s="533"/>
      <c r="T30" s="534"/>
      <c r="U30" s="534"/>
      <c r="V30" s="534"/>
      <c r="W30" s="534"/>
      <c r="X30" s="534"/>
      <c r="Y30" s="534"/>
      <c r="Z30" s="534"/>
      <c r="AA30" s="534"/>
      <c r="AB30" s="525"/>
      <c r="AC30" s="527"/>
    </row>
    <row r="31" spans="1:29" ht="16.899999999999999" customHeight="1">
      <c r="A31" s="496"/>
      <c r="B31" s="265"/>
      <c r="C31" s="265"/>
      <c r="D31" s="961"/>
      <c r="E31" s="962"/>
      <c r="F31" s="1085">
        <f>K31*L22</f>
        <v>58</v>
      </c>
      <c r="G31" s="1086"/>
      <c r="H31" s="1086"/>
      <c r="I31" s="1050" t="s">
        <v>638</v>
      </c>
      <c r="J31" s="1051"/>
      <c r="K31" s="604">
        <v>8</v>
      </c>
      <c r="L31" s="1047" t="s">
        <v>637</v>
      </c>
      <c r="M31" s="1048"/>
      <c r="N31" s="1048"/>
      <c r="O31" s="1049"/>
      <c r="P31" s="281"/>
      <c r="Q31" s="281"/>
      <c r="R31" s="283"/>
      <c r="S31" s="283"/>
      <c r="T31" s="1014"/>
      <c r="U31" s="1014"/>
      <c r="V31" s="1014"/>
      <c r="W31" s="1014"/>
      <c r="X31" s="1014"/>
      <c r="Y31" s="1014"/>
      <c r="Z31" s="1014"/>
      <c r="AA31" s="1014"/>
      <c r="AB31" s="265"/>
    </row>
    <row r="32" spans="1:29" s="188" customFormat="1" ht="27" customHeight="1">
      <c r="A32" s="265"/>
      <c r="B32" s="265"/>
      <c r="C32" s="265"/>
      <c r="D32" s="284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06"/>
    </row>
    <row r="33" spans="1:34" s="191" customFormat="1" ht="27" customHeight="1">
      <c r="A33" s="498"/>
      <c r="B33" s="431"/>
      <c r="C33" s="431"/>
      <c r="D33" s="730" t="s">
        <v>341</v>
      </c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  <c r="AA33" s="730"/>
      <c r="AB33" s="431"/>
    </row>
    <row r="34" spans="1:34" ht="27" customHeight="1">
      <c r="A34" s="496"/>
      <c r="B34" s="285"/>
      <c r="C34" s="285"/>
      <c r="D34" s="301"/>
      <c r="E34" s="301"/>
      <c r="F34" s="301"/>
      <c r="G34" s="301"/>
      <c r="H34" s="301"/>
      <c r="I34" s="301"/>
      <c r="J34" s="302"/>
      <c r="K34" s="303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265"/>
      <c r="AC34" s="422"/>
      <c r="AD34" s="192"/>
      <c r="AE34" s="192"/>
      <c r="AF34" s="192"/>
      <c r="AG34" s="192"/>
      <c r="AH34" s="192"/>
    </row>
    <row r="35" spans="1:34" ht="14.25">
      <c r="A35" s="496"/>
      <c r="B35" s="265"/>
      <c r="C35" s="265"/>
      <c r="D35" s="373"/>
      <c r="E35" s="374"/>
      <c r="F35" s="374"/>
      <c r="G35" s="375"/>
      <c r="H35" s="304"/>
      <c r="I35" s="373"/>
      <c r="J35" s="374"/>
      <c r="K35" s="374"/>
      <c r="L35" s="375"/>
      <c r="M35" s="304"/>
      <c r="N35" s="373"/>
      <c r="O35" s="374"/>
      <c r="P35" s="374"/>
      <c r="Q35" s="375"/>
      <c r="R35" s="304"/>
      <c r="S35" s="373"/>
      <c r="T35" s="374"/>
      <c r="U35" s="374"/>
      <c r="V35" s="375"/>
      <c r="W35" s="304"/>
      <c r="X35" s="373"/>
      <c r="Y35" s="374"/>
      <c r="Z35" s="374"/>
      <c r="AA35" s="375"/>
      <c r="AB35" s="271"/>
      <c r="AC35" s="422"/>
      <c r="AD35" s="192"/>
      <c r="AE35" s="192"/>
      <c r="AF35" s="192"/>
      <c r="AG35" s="192"/>
      <c r="AH35" s="192"/>
    </row>
    <row r="36" spans="1:34" ht="14.25">
      <c r="A36" s="496"/>
      <c r="B36" s="265"/>
      <c r="C36" s="265"/>
      <c r="D36" s="376"/>
      <c r="E36" s="377"/>
      <c r="F36" s="377"/>
      <c r="G36" s="378"/>
      <c r="H36" s="304"/>
      <c r="I36" s="376"/>
      <c r="J36" s="377"/>
      <c r="K36" s="377"/>
      <c r="L36" s="378"/>
      <c r="M36" s="304"/>
      <c r="N36" s="376"/>
      <c r="O36" s="377"/>
      <c r="P36" s="377"/>
      <c r="Q36" s="378"/>
      <c r="R36" s="304"/>
      <c r="S36" s="376"/>
      <c r="T36" s="377"/>
      <c r="U36" s="377"/>
      <c r="V36" s="378"/>
      <c r="W36" s="304"/>
      <c r="X36" s="376"/>
      <c r="Y36" s="377"/>
      <c r="Z36" s="377"/>
      <c r="AA36" s="378"/>
      <c r="AB36" s="271"/>
      <c r="AC36" s="422"/>
      <c r="AD36" s="192"/>
      <c r="AE36" s="192"/>
      <c r="AF36" s="192"/>
      <c r="AG36" s="192"/>
      <c r="AH36" s="192"/>
    </row>
    <row r="37" spans="1:34" ht="14.25">
      <c r="A37" s="496"/>
      <c r="B37" s="265"/>
      <c r="C37" s="265"/>
      <c r="D37" s="376"/>
      <c r="E37" s="377"/>
      <c r="F37" s="377"/>
      <c r="G37" s="378"/>
      <c r="H37" s="304"/>
      <c r="I37" s="376"/>
      <c r="J37" s="377"/>
      <c r="K37" s="377"/>
      <c r="L37" s="378"/>
      <c r="M37" s="304"/>
      <c r="N37" s="376"/>
      <c r="O37" s="377"/>
      <c r="P37" s="377"/>
      <c r="Q37" s="378"/>
      <c r="R37" s="304"/>
      <c r="S37" s="376"/>
      <c r="T37" s="377"/>
      <c r="U37" s="377"/>
      <c r="V37" s="378"/>
      <c r="W37" s="304"/>
      <c r="X37" s="376"/>
      <c r="Y37" s="377"/>
      <c r="Z37" s="377"/>
      <c r="AA37" s="378"/>
      <c r="AB37" s="271"/>
      <c r="AC37" s="422"/>
      <c r="AD37" s="192"/>
      <c r="AE37" s="192"/>
      <c r="AF37" s="192"/>
      <c r="AG37" s="192"/>
      <c r="AH37" s="192"/>
    </row>
    <row r="38" spans="1:34" ht="14.25">
      <c r="A38" s="496"/>
      <c r="B38" s="265"/>
      <c r="C38" s="265"/>
      <c r="D38" s="376"/>
      <c r="E38" s="377"/>
      <c r="F38" s="377"/>
      <c r="G38" s="378"/>
      <c r="H38" s="304"/>
      <c r="I38" s="376"/>
      <c r="J38" s="377"/>
      <c r="K38" s="377"/>
      <c r="L38" s="378"/>
      <c r="M38" s="304"/>
      <c r="N38" s="376"/>
      <c r="O38" s="377"/>
      <c r="P38" s="377"/>
      <c r="Q38" s="378"/>
      <c r="R38" s="304"/>
      <c r="S38" s="376"/>
      <c r="T38" s="377"/>
      <c r="U38" s="377"/>
      <c r="V38" s="378"/>
      <c r="W38" s="304"/>
      <c r="X38" s="376"/>
      <c r="Y38" s="377"/>
      <c r="Z38" s="377"/>
      <c r="AA38" s="378"/>
      <c r="AB38" s="271"/>
      <c r="AC38" s="422"/>
      <c r="AD38" s="192"/>
      <c r="AE38" s="192"/>
      <c r="AF38" s="192"/>
      <c r="AG38" s="192"/>
      <c r="AH38" s="192"/>
    </row>
    <row r="39" spans="1:34" ht="14.25">
      <c r="A39" s="496"/>
      <c r="B39" s="265"/>
      <c r="C39" s="265"/>
      <c r="D39" s="376"/>
      <c r="E39" s="377"/>
      <c r="F39" s="377"/>
      <c r="G39" s="378"/>
      <c r="H39" s="304"/>
      <c r="I39" s="376"/>
      <c r="J39" s="377"/>
      <c r="K39" s="377"/>
      <c r="L39" s="378"/>
      <c r="M39" s="304"/>
      <c r="N39" s="376"/>
      <c r="O39" s="377"/>
      <c r="P39" s="377"/>
      <c r="Q39" s="378"/>
      <c r="R39" s="304"/>
      <c r="S39" s="376"/>
      <c r="T39" s="377"/>
      <c r="U39" s="377"/>
      <c r="V39" s="378"/>
      <c r="W39" s="304"/>
      <c r="X39" s="376"/>
      <c r="Y39" s="377"/>
      <c r="Z39" s="377"/>
      <c r="AA39" s="378"/>
      <c r="AB39" s="271"/>
      <c r="AC39" s="422"/>
      <c r="AD39" s="192"/>
      <c r="AE39" s="192"/>
      <c r="AF39" s="192"/>
      <c r="AG39" s="192"/>
      <c r="AH39" s="192"/>
    </row>
    <row r="40" spans="1:34" ht="12.75" customHeight="1">
      <c r="A40" s="496"/>
      <c r="B40" s="265"/>
      <c r="C40" s="265"/>
      <c r="D40" s="1002" t="s">
        <v>186</v>
      </c>
      <c r="E40" s="1003"/>
      <c r="F40" s="1003"/>
      <c r="G40" s="1004"/>
      <c r="H40" s="304"/>
      <c r="I40" s="1002" t="s">
        <v>187</v>
      </c>
      <c r="J40" s="1003"/>
      <c r="K40" s="1003"/>
      <c r="L40" s="1004"/>
      <c r="M40" s="304"/>
      <c r="N40" s="1002" t="s">
        <v>188</v>
      </c>
      <c r="O40" s="1003"/>
      <c r="P40" s="1003"/>
      <c r="Q40" s="1004"/>
      <c r="R40" s="304"/>
      <c r="S40" s="1002" t="s">
        <v>189</v>
      </c>
      <c r="T40" s="1003"/>
      <c r="U40" s="1003"/>
      <c r="V40" s="1004"/>
      <c r="W40" s="304"/>
      <c r="X40" s="1002" t="s">
        <v>190</v>
      </c>
      <c r="Y40" s="1003"/>
      <c r="Z40" s="1003"/>
      <c r="AA40" s="1004"/>
      <c r="AB40" s="438"/>
      <c r="AC40" s="422"/>
      <c r="AD40" s="192"/>
      <c r="AE40" s="192"/>
      <c r="AF40" s="192"/>
      <c r="AG40" s="192"/>
      <c r="AH40" s="192"/>
    </row>
    <row r="41" spans="1:34" s="193" customFormat="1" ht="27" customHeight="1">
      <c r="A41" s="499"/>
      <c r="B41" s="273"/>
      <c r="C41" s="273"/>
      <c r="D41" s="779" t="s">
        <v>334</v>
      </c>
      <c r="E41" s="780"/>
      <c r="F41" s="780"/>
      <c r="G41" s="781"/>
      <c r="H41" s="320"/>
      <c r="I41" s="779" t="s">
        <v>174</v>
      </c>
      <c r="J41" s="780"/>
      <c r="K41" s="780"/>
      <c r="L41" s="781"/>
      <c r="M41" s="320"/>
      <c r="N41" s="779" t="s">
        <v>184</v>
      </c>
      <c r="O41" s="780"/>
      <c r="P41" s="780"/>
      <c r="Q41" s="781"/>
      <c r="R41" s="320"/>
      <c r="S41" s="779" t="s">
        <v>183</v>
      </c>
      <c r="T41" s="780"/>
      <c r="U41" s="780"/>
      <c r="V41" s="781"/>
      <c r="W41" s="320"/>
      <c r="X41" s="779" t="s">
        <v>19</v>
      </c>
      <c r="Y41" s="780"/>
      <c r="Z41" s="780"/>
      <c r="AA41" s="781"/>
      <c r="AB41" s="439"/>
      <c r="AC41" s="425"/>
      <c r="AD41" s="194"/>
      <c r="AE41" s="194"/>
      <c r="AF41" s="194"/>
      <c r="AG41" s="194"/>
      <c r="AH41" s="194"/>
    </row>
    <row r="42" spans="1:34" ht="16.149999999999999" customHeight="1">
      <c r="A42" s="496"/>
      <c r="B42" s="265"/>
      <c r="C42" s="265"/>
      <c r="D42" s="1007">
        <v>20</v>
      </c>
      <c r="E42" s="1008"/>
      <c r="F42" s="1016">
        <v>0</v>
      </c>
      <c r="G42" s="1017"/>
      <c r="H42" s="304"/>
      <c r="I42" s="1007">
        <v>1.4</v>
      </c>
      <c r="J42" s="1008"/>
      <c r="K42" s="963">
        <v>0</v>
      </c>
      <c r="L42" s="964"/>
      <c r="M42" s="304"/>
      <c r="N42" s="1007">
        <v>1.7</v>
      </c>
      <c r="O42" s="1008"/>
      <c r="P42" s="963">
        <v>0</v>
      </c>
      <c r="Q42" s="964"/>
      <c r="R42" s="304"/>
      <c r="S42" s="1036">
        <v>1.7</v>
      </c>
      <c r="T42" s="1037"/>
      <c r="U42" s="1016">
        <v>0</v>
      </c>
      <c r="V42" s="1017"/>
      <c r="W42" s="304"/>
      <c r="X42" s="1036">
        <v>1.95</v>
      </c>
      <c r="Y42" s="1037"/>
      <c r="Z42" s="1016">
        <v>0</v>
      </c>
      <c r="AA42" s="1017"/>
      <c r="AB42" s="440"/>
      <c r="AC42" s="422"/>
      <c r="AD42" s="192"/>
      <c r="AE42" s="192"/>
      <c r="AF42" s="192"/>
      <c r="AG42" s="192"/>
      <c r="AH42" s="192"/>
    </row>
    <row r="43" spans="1:34" s="528" customFormat="1" ht="16.149999999999999" customHeight="1">
      <c r="A43" s="524"/>
      <c r="B43" s="525"/>
      <c r="C43" s="525"/>
      <c r="D43" s="612">
        <f>G43*D42</f>
        <v>120</v>
      </c>
      <c r="E43" s="632"/>
      <c r="F43" s="633" t="s">
        <v>333</v>
      </c>
      <c r="G43" s="634">
        <v>6</v>
      </c>
      <c r="H43" s="611"/>
      <c r="I43" s="612">
        <f>I42*L43</f>
        <v>42</v>
      </c>
      <c r="J43" s="632"/>
      <c r="K43" s="633" t="s">
        <v>333</v>
      </c>
      <c r="L43" s="634">
        <v>30</v>
      </c>
      <c r="M43" s="611"/>
      <c r="N43" s="658">
        <f>Q43*N42</f>
        <v>51</v>
      </c>
      <c r="O43" s="659"/>
      <c r="P43" s="660" t="s">
        <v>333</v>
      </c>
      <c r="Q43" s="661">
        <v>30</v>
      </c>
      <c r="R43" s="611"/>
      <c r="S43" s="612">
        <f>V43*S42</f>
        <v>42.5</v>
      </c>
      <c r="T43" s="632"/>
      <c r="U43" s="633" t="s">
        <v>333</v>
      </c>
      <c r="V43" s="651">
        <v>25</v>
      </c>
      <c r="W43" s="611"/>
      <c r="X43" s="612">
        <f>AA43*X42</f>
        <v>78</v>
      </c>
      <c r="Y43" s="632"/>
      <c r="Z43" s="633" t="s">
        <v>333</v>
      </c>
      <c r="AA43" s="634">
        <v>40</v>
      </c>
      <c r="AB43" s="662"/>
      <c r="AC43" s="656"/>
      <c r="AD43" s="657"/>
      <c r="AE43" s="657"/>
      <c r="AF43" s="657"/>
      <c r="AG43" s="657"/>
      <c r="AH43" s="657"/>
    </row>
    <row r="44" spans="1:34" ht="10.15" customHeight="1">
      <c r="A44" s="496"/>
      <c r="B44" s="265"/>
      <c r="C44" s="265"/>
      <c r="D44" s="925"/>
      <c r="E44" s="925"/>
      <c r="F44" s="925"/>
      <c r="G44" s="925"/>
      <c r="H44" s="304"/>
      <c r="I44" s="344"/>
      <c r="J44" s="344"/>
      <c r="K44" s="379"/>
      <c r="L44" s="379"/>
      <c r="M44" s="304"/>
      <c r="N44" s="344"/>
      <c r="O44" s="344"/>
      <c r="P44" s="379"/>
      <c r="Q44" s="379"/>
      <c r="R44" s="304"/>
      <c r="S44" s="344"/>
      <c r="T44" s="344"/>
      <c r="U44" s="379"/>
      <c r="V44" s="379"/>
      <c r="W44" s="304"/>
      <c r="X44" s="344"/>
      <c r="Y44" s="344"/>
      <c r="Z44" s="379"/>
      <c r="AA44" s="379"/>
      <c r="AB44" s="440"/>
      <c r="AC44" s="422"/>
      <c r="AD44" s="192"/>
      <c r="AE44" s="192"/>
      <c r="AF44" s="192"/>
      <c r="AG44" s="192"/>
      <c r="AH44" s="192"/>
    </row>
    <row r="45" spans="1:34" ht="13.5" customHeight="1">
      <c r="A45" s="496"/>
      <c r="B45" s="265"/>
      <c r="C45" s="265"/>
      <c r="D45" s="373"/>
      <c r="E45" s="374"/>
      <c r="F45" s="374"/>
      <c r="G45" s="375"/>
      <c r="H45" s="304"/>
      <c r="I45" s="1009"/>
      <c r="J45" s="1010"/>
      <c r="K45" s="1010"/>
      <c r="L45" s="1011"/>
      <c r="M45" s="304"/>
      <c r="N45" s="1009"/>
      <c r="O45" s="1010"/>
      <c r="P45" s="1010"/>
      <c r="Q45" s="1011"/>
      <c r="R45" s="304"/>
      <c r="S45" s="1025"/>
      <c r="T45" s="1026"/>
      <c r="U45" s="1026"/>
      <c r="V45" s="1027"/>
      <c r="W45" s="304"/>
      <c r="X45" s="380"/>
      <c r="Y45" s="381"/>
      <c r="Z45" s="381"/>
      <c r="AA45" s="382"/>
      <c r="AB45" s="271"/>
      <c r="AC45" s="422"/>
      <c r="AD45" s="192"/>
      <c r="AE45" s="192"/>
      <c r="AF45" s="192"/>
      <c r="AG45" s="192"/>
      <c r="AH45" s="192"/>
    </row>
    <row r="46" spans="1:34" ht="14.25">
      <c r="A46" s="496"/>
      <c r="B46" s="265"/>
      <c r="C46" s="265"/>
      <c r="D46" s="376"/>
      <c r="E46" s="377"/>
      <c r="F46" s="377"/>
      <c r="G46" s="378"/>
      <c r="H46" s="304"/>
      <c r="I46" s="945"/>
      <c r="J46" s="946"/>
      <c r="K46" s="946"/>
      <c r="L46" s="947"/>
      <c r="M46" s="304"/>
      <c r="N46" s="945"/>
      <c r="O46" s="946"/>
      <c r="P46" s="946"/>
      <c r="Q46" s="947"/>
      <c r="R46" s="304"/>
      <c r="S46" s="1028"/>
      <c r="T46" s="1029"/>
      <c r="U46" s="1029"/>
      <c r="V46" s="1030"/>
      <c r="W46" s="304"/>
      <c r="X46" s="383"/>
      <c r="Y46" s="384"/>
      <c r="Z46" s="384"/>
      <c r="AA46" s="385"/>
      <c r="AB46" s="271"/>
      <c r="AC46" s="422"/>
      <c r="AD46" s="192"/>
      <c r="AE46" s="192"/>
      <c r="AF46" s="192"/>
      <c r="AG46" s="192"/>
      <c r="AH46" s="192"/>
    </row>
    <row r="47" spans="1:34" ht="14.25">
      <c r="A47" s="496"/>
      <c r="B47" s="265"/>
      <c r="C47" s="265"/>
      <c r="D47" s="376"/>
      <c r="E47" s="377"/>
      <c r="F47" s="377"/>
      <c r="G47" s="378"/>
      <c r="H47" s="304"/>
      <c r="I47" s="945"/>
      <c r="J47" s="946"/>
      <c r="K47" s="946"/>
      <c r="L47" s="947"/>
      <c r="M47" s="304"/>
      <c r="N47" s="945"/>
      <c r="O47" s="946"/>
      <c r="P47" s="946"/>
      <c r="Q47" s="947"/>
      <c r="R47" s="304"/>
      <c r="S47" s="1028"/>
      <c r="T47" s="1029"/>
      <c r="U47" s="1029"/>
      <c r="V47" s="1030"/>
      <c r="W47" s="304"/>
      <c r="X47" s="383"/>
      <c r="Y47" s="384"/>
      <c r="Z47" s="384"/>
      <c r="AA47" s="385"/>
      <c r="AB47" s="271"/>
      <c r="AC47" s="422"/>
      <c r="AD47" s="192"/>
      <c r="AE47" s="192"/>
      <c r="AF47" s="192"/>
      <c r="AG47" s="192"/>
      <c r="AH47" s="192"/>
    </row>
    <row r="48" spans="1:34" ht="14.25">
      <c r="A48" s="496"/>
      <c r="B48" s="265"/>
      <c r="C48" s="265"/>
      <c r="D48" s="376"/>
      <c r="E48" s="377"/>
      <c r="F48" s="377"/>
      <c r="G48" s="378"/>
      <c r="H48" s="304"/>
      <c r="I48" s="945"/>
      <c r="J48" s="946"/>
      <c r="K48" s="946"/>
      <c r="L48" s="947"/>
      <c r="M48" s="304"/>
      <c r="N48" s="945"/>
      <c r="O48" s="946"/>
      <c r="P48" s="946"/>
      <c r="Q48" s="947"/>
      <c r="R48" s="304"/>
      <c r="S48" s="1028"/>
      <c r="T48" s="1029"/>
      <c r="U48" s="1029"/>
      <c r="V48" s="1030"/>
      <c r="W48" s="304"/>
      <c r="X48" s="383"/>
      <c r="Y48" s="384"/>
      <c r="Z48" s="384"/>
      <c r="AA48" s="385"/>
      <c r="AB48" s="271"/>
      <c r="AC48" s="422"/>
      <c r="AD48" s="192"/>
      <c r="AE48" s="192"/>
      <c r="AF48" s="192"/>
      <c r="AG48" s="192"/>
      <c r="AH48" s="192"/>
    </row>
    <row r="49" spans="1:34" ht="14.25">
      <c r="A49" s="496"/>
      <c r="B49" s="265"/>
      <c r="C49" s="265"/>
      <c r="D49" s="386"/>
      <c r="E49" s="387"/>
      <c r="F49" s="387"/>
      <c r="G49" s="388"/>
      <c r="H49" s="304"/>
      <c r="I49" s="948"/>
      <c r="J49" s="949"/>
      <c r="K49" s="949"/>
      <c r="L49" s="950"/>
      <c r="M49" s="304"/>
      <c r="N49" s="948"/>
      <c r="O49" s="949"/>
      <c r="P49" s="949"/>
      <c r="Q49" s="950"/>
      <c r="R49" s="304"/>
      <c r="S49" s="1031"/>
      <c r="T49" s="1032"/>
      <c r="U49" s="1032"/>
      <c r="V49" s="1033"/>
      <c r="W49" s="304"/>
      <c r="X49" s="389"/>
      <c r="Y49" s="390"/>
      <c r="Z49" s="390"/>
      <c r="AA49" s="391"/>
      <c r="AB49" s="271"/>
      <c r="AC49" s="422"/>
      <c r="AD49" s="192"/>
      <c r="AE49" s="192"/>
      <c r="AF49" s="192"/>
      <c r="AG49" s="192"/>
      <c r="AH49" s="192"/>
    </row>
    <row r="50" spans="1:34" ht="12.75" customHeight="1">
      <c r="A50" s="496"/>
      <c r="B50" s="265"/>
      <c r="C50" s="265"/>
      <c r="D50" s="1002" t="s">
        <v>191</v>
      </c>
      <c r="E50" s="1003"/>
      <c r="F50" s="1003"/>
      <c r="G50" s="1004"/>
      <c r="H50" s="304"/>
      <c r="I50" s="1002" t="s">
        <v>520</v>
      </c>
      <c r="J50" s="1003"/>
      <c r="K50" s="1003"/>
      <c r="L50" s="1004"/>
      <c r="M50" s="304"/>
      <c r="N50" s="1002" t="s">
        <v>192</v>
      </c>
      <c r="O50" s="1003"/>
      <c r="P50" s="1003"/>
      <c r="Q50" s="1004"/>
      <c r="R50" s="304"/>
      <c r="S50" s="1002" t="s">
        <v>521</v>
      </c>
      <c r="T50" s="1003"/>
      <c r="U50" s="1003"/>
      <c r="V50" s="1004"/>
      <c r="W50" s="304"/>
      <c r="X50" s="1002" t="s">
        <v>193</v>
      </c>
      <c r="Y50" s="1003"/>
      <c r="Z50" s="1003"/>
      <c r="AA50" s="1004"/>
      <c r="AB50" s="438"/>
      <c r="AC50" s="422"/>
      <c r="AD50" s="192"/>
      <c r="AE50" s="192"/>
      <c r="AF50" s="192"/>
      <c r="AG50" s="192"/>
      <c r="AH50" s="192"/>
    </row>
    <row r="51" spans="1:34" s="193" customFormat="1" ht="27" customHeight="1">
      <c r="A51" s="499"/>
      <c r="B51" s="273"/>
      <c r="C51" s="273"/>
      <c r="D51" s="779" t="s">
        <v>316</v>
      </c>
      <c r="E51" s="780"/>
      <c r="F51" s="780"/>
      <c r="G51" s="781"/>
      <c r="H51" s="320"/>
      <c r="I51" s="996" t="s">
        <v>522</v>
      </c>
      <c r="J51" s="997"/>
      <c r="K51" s="997"/>
      <c r="L51" s="998"/>
      <c r="M51" s="320"/>
      <c r="N51" s="996" t="s">
        <v>335</v>
      </c>
      <c r="O51" s="997"/>
      <c r="P51" s="997"/>
      <c r="Q51" s="998"/>
      <c r="R51" s="320"/>
      <c r="S51" s="996" t="s">
        <v>523</v>
      </c>
      <c r="T51" s="997"/>
      <c r="U51" s="997"/>
      <c r="V51" s="998"/>
      <c r="W51" s="320"/>
      <c r="X51" s="779" t="s">
        <v>336</v>
      </c>
      <c r="Y51" s="780"/>
      <c r="Z51" s="780"/>
      <c r="AA51" s="781"/>
      <c r="AB51" s="439"/>
      <c r="AC51" s="425"/>
      <c r="AD51" s="194"/>
      <c r="AE51" s="194"/>
      <c r="AF51" s="194"/>
      <c r="AG51" s="194"/>
      <c r="AH51" s="194"/>
    </row>
    <row r="52" spans="1:34" ht="16.149999999999999" customHeight="1">
      <c r="A52" s="496"/>
      <c r="B52" s="265"/>
      <c r="C52" s="265"/>
      <c r="D52" s="1034">
        <v>2.75</v>
      </c>
      <c r="E52" s="1035"/>
      <c r="F52" s="963">
        <v>0</v>
      </c>
      <c r="G52" s="964"/>
      <c r="H52" s="304"/>
      <c r="I52" s="1007">
        <v>2.25</v>
      </c>
      <c r="J52" s="1008"/>
      <c r="K52" s="963">
        <v>0</v>
      </c>
      <c r="L52" s="964"/>
      <c r="M52" s="304"/>
      <c r="N52" s="1007">
        <v>1</v>
      </c>
      <c r="O52" s="1008"/>
      <c r="P52" s="963">
        <v>0</v>
      </c>
      <c r="Q52" s="964"/>
      <c r="R52" s="304"/>
      <c r="S52" s="1007">
        <v>18</v>
      </c>
      <c r="T52" s="1008"/>
      <c r="U52" s="963">
        <v>0</v>
      </c>
      <c r="V52" s="964"/>
      <c r="W52" s="304"/>
      <c r="X52" s="1007">
        <v>20</v>
      </c>
      <c r="Y52" s="1008"/>
      <c r="Z52" s="963">
        <v>0</v>
      </c>
      <c r="AA52" s="964"/>
      <c r="AB52" s="440"/>
      <c r="AC52" s="422"/>
      <c r="AD52" s="192"/>
      <c r="AE52" s="192"/>
      <c r="AF52" s="192"/>
      <c r="AG52" s="192"/>
      <c r="AH52" s="192"/>
    </row>
    <row r="53" spans="1:34" s="528" customFormat="1" ht="16.149999999999999" customHeight="1">
      <c r="A53" s="524"/>
      <c r="B53" s="525"/>
      <c r="C53" s="525"/>
      <c r="D53" s="612">
        <f>G53*D52</f>
        <v>55</v>
      </c>
      <c r="E53" s="613"/>
      <c r="F53" s="625" t="s">
        <v>333</v>
      </c>
      <c r="G53" s="626">
        <v>20</v>
      </c>
      <c r="H53" s="611"/>
      <c r="I53" s="612">
        <f>L53*I52</f>
        <v>45</v>
      </c>
      <c r="J53" s="632"/>
      <c r="K53" s="633" t="s">
        <v>333</v>
      </c>
      <c r="L53" s="634">
        <v>20</v>
      </c>
      <c r="M53" s="611"/>
      <c r="N53" s="612">
        <f>Q53*N52</f>
        <v>150</v>
      </c>
      <c r="O53" s="632"/>
      <c r="P53" s="633" t="s">
        <v>333</v>
      </c>
      <c r="Q53" s="634">
        <v>150</v>
      </c>
      <c r="R53" s="611"/>
      <c r="S53" s="612">
        <f>V53*S52</f>
        <v>108</v>
      </c>
      <c r="T53" s="632"/>
      <c r="U53" s="633" t="s">
        <v>333</v>
      </c>
      <c r="V53" s="634">
        <v>6</v>
      </c>
      <c r="W53" s="611"/>
      <c r="X53" s="612">
        <f>AA53*X52</f>
        <v>120</v>
      </c>
      <c r="Y53" s="632"/>
      <c r="Z53" s="633" t="s">
        <v>333</v>
      </c>
      <c r="AA53" s="634">
        <v>6</v>
      </c>
      <c r="AB53" s="525"/>
      <c r="AC53" s="656"/>
      <c r="AD53" s="657"/>
      <c r="AE53" s="657"/>
      <c r="AF53" s="657"/>
      <c r="AG53" s="657"/>
      <c r="AH53" s="657"/>
    </row>
    <row r="54" spans="1:34" ht="27" customHeight="1">
      <c r="A54" s="496"/>
      <c r="B54" s="265"/>
      <c r="C54" s="265"/>
      <c r="D54" s="490"/>
      <c r="E54" s="490"/>
      <c r="F54" s="491"/>
      <c r="G54" s="492"/>
      <c r="H54" s="265"/>
      <c r="I54" s="278"/>
      <c r="J54" s="278"/>
      <c r="K54" s="491"/>
      <c r="L54" s="493"/>
      <c r="M54" s="265"/>
      <c r="N54" s="278"/>
      <c r="O54" s="278"/>
      <c r="P54" s="491"/>
      <c r="Q54" s="493"/>
      <c r="R54" s="265"/>
      <c r="S54" s="278"/>
      <c r="T54" s="278"/>
      <c r="U54" s="491"/>
      <c r="V54" s="493"/>
      <c r="W54" s="265"/>
      <c r="X54" s="278"/>
      <c r="Y54" s="278"/>
      <c r="Z54" s="491"/>
      <c r="AA54" s="493"/>
      <c r="AB54" s="265"/>
      <c r="AC54" s="422"/>
      <c r="AD54" s="192"/>
      <c r="AE54" s="192"/>
      <c r="AF54" s="192"/>
      <c r="AG54" s="192"/>
      <c r="AH54" s="192"/>
    </row>
    <row r="55" spans="1:34" s="195" customFormat="1" ht="27" customHeight="1">
      <c r="A55" s="500"/>
      <c r="B55" s="431"/>
      <c r="C55" s="287"/>
      <c r="D55" s="730" t="s">
        <v>570</v>
      </c>
      <c r="E55" s="730"/>
      <c r="F55" s="730"/>
      <c r="G55" s="730"/>
      <c r="H55" s="730"/>
      <c r="I55" s="730"/>
      <c r="J55" s="730"/>
      <c r="K55" s="730"/>
      <c r="L55" s="730"/>
      <c r="M55" s="730"/>
      <c r="N55" s="730"/>
      <c r="O55" s="730"/>
      <c r="P55" s="730"/>
      <c r="Q55" s="730"/>
      <c r="R55" s="730"/>
      <c r="S55" s="730"/>
      <c r="T55" s="730"/>
      <c r="U55" s="730"/>
      <c r="V55" s="730"/>
      <c r="W55" s="730"/>
      <c r="X55" s="730"/>
      <c r="Y55" s="730"/>
      <c r="Z55" s="730"/>
      <c r="AA55" s="730"/>
      <c r="AB55" s="431"/>
      <c r="AC55" s="446"/>
      <c r="AD55" s="196"/>
      <c r="AE55" s="196"/>
      <c r="AF55" s="196"/>
      <c r="AG55" s="196"/>
      <c r="AH55" s="196"/>
    </row>
    <row r="56" spans="1:34" s="196" customFormat="1" ht="27" customHeight="1">
      <c r="A56" s="500"/>
      <c r="B56" s="265"/>
      <c r="C56" s="265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265"/>
      <c r="AC56" s="446"/>
    </row>
    <row r="57" spans="1:34" ht="14.25">
      <c r="A57" s="496"/>
      <c r="B57" s="265"/>
      <c r="C57" s="265"/>
      <c r="D57" s="739"/>
      <c r="E57" s="740"/>
      <c r="F57" s="740"/>
      <c r="G57" s="741"/>
      <c r="H57" s="304"/>
      <c r="I57" s="739"/>
      <c r="J57" s="740"/>
      <c r="K57" s="740"/>
      <c r="L57" s="741"/>
      <c r="M57" s="304"/>
      <c r="N57" s="739"/>
      <c r="O57" s="740"/>
      <c r="P57" s="740"/>
      <c r="Q57" s="741"/>
      <c r="R57" s="304"/>
      <c r="S57" s="739"/>
      <c r="T57" s="740"/>
      <c r="U57" s="740"/>
      <c r="V57" s="741"/>
      <c r="W57" s="304"/>
      <c r="X57" s="739"/>
      <c r="Y57" s="740"/>
      <c r="Z57" s="740"/>
      <c r="AA57" s="741"/>
      <c r="AB57" s="265"/>
    </row>
    <row r="58" spans="1:34" ht="12" customHeight="1">
      <c r="A58" s="496"/>
      <c r="B58" s="265"/>
      <c r="C58" s="265"/>
      <c r="D58" s="742"/>
      <c r="E58" s="743"/>
      <c r="F58" s="743"/>
      <c r="G58" s="744"/>
      <c r="H58" s="304"/>
      <c r="I58" s="742"/>
      <c r="J58" s="743"/>
      <c r="K58" s="743"/>
      <c r="L58" s="744"/>
      <c r="M58" s="304"/>
      <c r="N58" s="742"/>
      <c r="O58" s="743"/>
      <c r="P58" s="743"/>
      <c r="Q58" s="744"/>
      <c r="R58" s="304"/>
      <c r="S58" s="742"/>
      <c r="T58" s="743"/>
      <c r="U58" s="743"/>
      <c r="V58" s="744"/>
      <c r="W58" s="304"/>
      <c r="X58" s="742"/>
      <c r="Y58" s="743"/>
      <c r="Z58" s="743"/>
      <c r="AA58" s="744"/>
      <c r="AB58" s="265"/>
    </row>
    <row r="59" spans="1:34" ht="13.5" customHeight="1">
      <c r="A59" s="496"/>
      <c r="B59" s="265"/>
      <c r="C59" s="265"/>
      <c r="D59" s="329"/>
      <c r="E59" s="330"/>
      <c r="F59" s="330"/>
      <c r="G59" s="331"/>
      <c r="H59" s="304"/>
      <c r="I59" s="329"/>
      <c r="J59" s="330"/>
      <c r="K59" s="330"/>
      <c r="L59" s="331"/>
      <c r="M59" s="304"/>
      <c r="N59" s="329"/>
      <c r="O59" s="330"/>
      <c r="P59" s="330"/>
      <c r="Q59" s="331"/>
      <c r="R59" s="304"/>
      <c r="S59" s="329"/>
      <c r="T59" s="330"/>
      <c r="U59" s="330"/>
      <c r="V59" s="331"/>
      <c r="W59" s="304"/>
      <c r="X59" s="329"/>
      <c r="Y59" s="330"/>
      <c r="Z59" s="330"/>
      <c r="AA59" s="331"/>
      <c r="AB59" s="265"/>
    </row>
    <row r="60" spans="1:34" ht="13.5" customHeight="1">
      <c r="A60" s="496"/>
      <c r="B60" s="265"/>
      <c r="C60" s="265"/>
      <c r="D60" s="742"/>
      <c r="E60" s="743"/>
      <c r="F60" s="743"/>
      <c r="G60" s="744"/>
      <c r="H60" s="304"/>
      <c r="I60" s="742"/>
      <c r="J60" s="743"/>
      <c r="K60" s="743"/>
      <c r="L60" s="744"/>
      <c r="M60" s="304"/>
      <c r="N60" s="742"/>
      <c r="O60" s="743"/>
      <c r="P60" s="743"/>
      <c r="Q60" s="744"/>
      <c r="R60" s="304"/>
      <c r="S60" s="742"/>
      <c r="T60" s="743"/>
      <c r="U60" s="743"/>
      <c r="V60" s="744"/>
      <c r="W60" s="304"/>
      <c r="X60" s="742"/>
      <c r="Y60" s="743"/>
      <c r="Z60" s="743"/>
      <c r="AA60" s="744"/>
      <c r="AB60" s="265"/>
    </row>
    <row r="61" spans="1:34" ht="13.5" customHeight="1">
      <c r="A61" s="496"/>
      <c r="B61" s="265"/>
      <c r="C61" s="265"/>
      <c r="D61" s="742"/>
      <c r="E61" s="743"/>
      <c r="F61" s="743"/>
      <c r="G61" s="744"/>
      <c r="H61" s="304"/>
      <c r="I61" s="742"/>
      <c r="J61" s="743"/>
      <c r="K61" s="743"/>
      <c r="L61" s="744"/>
      <c r="M61" s="304"/>
      <c r="N61" s="742"/>
      <c r="O61" s="743"/>
      <c r="P61" s="743"/>
      <c r="Q61" s="744"/>
      <c r="R61" s="304"/>
      <c r="S61" s="742"/>
      <c r="T61" s="743"/>
      <c r="U61" s="743"/>
      <c r="V61" s="744"/>
      <c r="W61" s="304"/>
      <c r="X61" s="742"/>
      <c r="Y61" s="743"/>
      <c r="Z61" s="743"/>
      <c r="AA61" s="744"/>
      <c r="AB61" s="265"/>
    </row>
    <row r="62" spans="1:34" ht="13.5" customHeight="1">
      <c r="A62" s="496"/>
      <c r="B62" s="265"/>
      <c r="C62" s="265"/>
      <c r="D62" s="785"/>
      <c r="E62" s="786"/>
      <c r="F62" s="786"/>
      <c r="G62" s="787"/>
      <c r="H62" s="304"/>
      <c r="I62" s="785"/>
      <c r="J62" s="786"/>
      <c r="K62" s="786"/>
      <c r="L62" s="787"/>
      <c r="M62" s="304"/>
      <c r="N62" s="785"/>
      <c r="O62" s="786"/>
      <c r="P62" s="786"/>
      <c r="Q62" s="787"/>
      <c r="R62" s="304"/>
      <c r="S62" s="742"/>
      <c r="T62" s="743"/>
      <c r="U62" s="743"/>
      <c r="V62" s="744"/>
      <c r="W62" s="304"/>
      <c r="X62" s="742"/>
      <c r="Y62" s="743"/>
      <c r="Z62" s="743"/>
      <c r="AA62" s="744"/>
      <c r="AB62" s="265"/>
    </row>
    <row r="63" spans="1:34" ht="13.5" customHeight="1">
      <c r="A63" s="496"/>
      <c r="B63" s="265"/>
      <c r="C63" s="265"/>
      <c r="D63" s="879" t="s">
        <v>292</v>
      </c>
      <c r="E63" s="880"/>
      <c r="F63" s="881"/>
      <c r="G63" s="882"/>
      <c r="H63" s="304"/>
      <c r="I63" s="879" t="s">
        <v>293</v>
      </c>
      <c r="J63" s="880"/>
      <c r="K63" s="881"/>
      <c r="L63" s="882"/>
      <c r="M63" s="304"/>
      <c r="N63" s="879" t="s">
        <v>294</v>
      </c>
      <c r="O63" s="880"/>
      <c r="P63" s="881"/>
      <c r="Q63" s="882"/>
      <c r="R63" s="304"/>
      <c r="S63" s="879" t="s">
        <v>295</v>
      </c>
      <c r="T63" s="880"/>
      <c r="U63" s="881"/>
      <c r="V63" s="882"/>
      <c r="W63" s="304"/>
      <c r="X63" s="879" t="s">
        <v>296</v>
      </c>
      <c r="Y63" s="880"/>
      <c r="Z63" s="881"/>
      <c r="AA63" s="882"/>
      <c r="AB63" s="265"/>
    </row>
    <row r="64" spans="1:34" ht="16.149999999999999" customHeight="1" thickBot="1">
      <c r="A64" s="496"/>
      <c r="B64" s="267"/>
      <c r="C64" s="267"/>
      <c r="D64" s="858">
        <v>0.55000000000000004</v>
      </c>
      <c r="E64" s="859"/>
      <c r="F64" s="752">
        <v>0</v>
      </c>
      <c r="G64" s="753"/>
      <c r="H64" s="304"/>
      <c r="I64" s="858">
        <v>0.92</v>
      </c>
      <c r="J64" s="859"/>
      <c r="K64" s="752">
        <v>0</v>
      </c>
      <c r="L64" s="753"/>
      <c r="M64" s="304"/>
      <c r="N64" s="858">
        <v>0.95</v>
      </c>
      <c r="O64" s="859"/>
      <c r="P64" s="752">
        <v>0</v>
      </c>
      <c r="Q64" s="753"/>
      <c r="R64" s="304"/>
      <c r="S64" s="858">
        <v>0.85</v>
      </c>
      <c r="T64" s="859"/>
      <c r="U64" s="752">
        <v>0</v>
      </c>
      <c r="V64" s="753"/>
      <c r="W64" s="304"/>
      <c r="X64" s="858">
        <v>0.5</v>
      </c>
      <c r="Y64" s="859"/>
      <c r="Z64" s="752">
        <v>0</v>
      </c>
      <c r="AA64" s="753"/>
      <c r="AB64" s="267"/>
    </row>
    <row r="65" spans="1:29" s="528" customFormat="1" ht="16.149999999999999" customHeight="1">
      <c r="A65" s="524"/>
      <c r="B65" s="629"/>
      <c r="C65" s="629"/>
      <c r="D65" s="607">
        <f>D64*G65</f>
        <v>123.75000000000001</v>
      </c>
      <c r="E65" s="608"/>
      <c r="F65" s="609" t="s">
        <v>333</v>
      </c>
      <c r="G65" s="610">
        <v>225</v>
      </c>
      <c r="H65" s="611"/>
      <c r="I65" s="607">
        <f>I64*L65</f>
        <v>138</v>
      </c>
      <c r="J65" s="608"/>
      <c r="K65" s="609" t="s">
        <v>333</v>
      </c>
      <c r="L65" s="610">
        <v>150</v>
      </c>
      <c r="M65" s="611"/>
      <c r="N65" s="607">
        <f>N64*Q65</f>
        <v>57</v>
      </c>
      <c r="O65" s="608"/>
      <c r="P65" s="609" t="s">
        <v>333</v>
      </c>
      <c r="Q65" s="610">
        <v>60</v>
      </c>
      <c r="R65" s="611"/>
      <c r="S65" s="607">
        <f>S64*V65</f>
        <v>127.5</v>
      </c>
      <c r="T65" s="608"/>
      <c r="U65" s="609" t="s">
        <v>333</v>
      </c>
      <c r="V65" s="610">
        <v>150</v>
      </c>
      <c r="W65" s="611"/>
      <c r="X65" s="607">
        <f>X64*AA65</f>
        <v>112.5</v>
      </c>
      <c r="Y65" s="608"/>
      <c r="Z65" s="609" t="s">
        <v>333</v>
      </c>
      <c r="AA65" s="610">
        <v>225</v>
      </c>
      <c r="AB65" s="629"/>
      <c r="AC65" s="527"/>
    </row>
    <row r="66" spans="1:29" s="193" customFormat="1" ht="10.15" customHeight="1">
      <c r="A66" s="499"/>
      <c r="B66" s="265"/>
      <c r="C66" s="265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265"/>
      <c r="AC66" s="423"/>
    </row>
    <row r="67" spans="1:29" s="197" customFormat="1" ht="15">
      <c r="A67" s="501"/>
      <c r="B67" s="265"/>
      <c r="C67" s="265"/>
      <c r="D67" s="766"/>
      <c r="E67" s="767"/>
      <c r="F67" s="767"/>
      <c r="G67" s="768"/>
      <c r="H67" s="304"/>
      <c r="I67" s="739"/>
      <c r="J67" s="740"/>
      <c r="K67" s="740"/>
      <c r="L67" s="741"/>
      <c r="M67" s="304"/>
      <c r="N67" s="739"/>
      <c r="O67" s="740"/>
      <c r="P67" s="740"/>
      <c r="Q67" s="741"/>
      <c r="R67" s="304"/>
      <c r="S67" s="739"/>
      <c r="T67" s="740"/>
      <c r="U67" s="740"/>
      <c r="V67" s="741"/>
      <c r="W67" s="304"/>
      <c r="X67" s="739"/>
      <c r="Y67" s="740"/>
      <c r="Z67" s="740"/>
      <c r="AA67" s="741"/>
      <c r="AB67" s="265"/>
      <c r="AC67" s="447"/>
    </row>
    <row r="68" spans="1:29" ht="13.5" customHeight="1">
      <c r="A68" s="496"/>
      <c r="B68" s="265"/>
      <c r="C68" s="265"/>
      <c r="D68" s="761"/>
      <c r="E68" s="762"/>
      <c r="F68" s="762"/>
      <c r="G68" s="763"/>
      <c r="H68" s="304"/>
      <c r="I68" s="742"/>
      <c r="J68" s="743"/>
      <c r="K68" s="743"/>
      <c r="L68" s="744"/>
      <c r="M68" s="304"/>
      <c r="N68" s="742"/>
      <c r="O68" s="743"/>
      <c r="P68" s="743"/>
      <c r="Q68" s="744"/>
      <c r="R68" s="304"/>
      <c r="S68" s="742"/>
      <c r="T68" s="743"/>
      <c r="U68" s="743"/>
      <c r="V68" s="744"/>
      <c r="W68" s="304"/>
      <c r="X68" s="742"/>
      <c r="Y68" s="743"/>
      <c r="Z68" s="743"/>
      <c r="AA68" s="744"/>
      <c r="AB68" s="265"/>
    </row>
    <row r="69" spans="1:29" ht="14.25">
      <c r="A69" s="496"/>
      <c r="B69" s="265"/>
      <c r="C69" s="265"/>
      <c r="D69" s="347"/>
      <c r="E69" s="348"/>
      <c r="F69" s="348"/>
      <c r="G69" s="349"/>
      <c r="H69" s="304"/>
      <c r="I69" s="329"/>
      <c r="J69" s="330"/>
      <c r="K69" s="330"/>
      <c r="L69" s="331"/>
      <c r="M69" s="304"/>
      <c r="N69" s="329"/>
      <c r="O69" s="330"/>
      <c r="P69" s="330"/>
      <c r="Q69" s="331"/>
      <c r="R69" s="304"/>
      <c r="S69" s="329"/>
      <c r="T69" s="330"/>
      <c r="U69" s="330"/>
      <c r="V69" s="331"/>
      <c r="W69" s="304"/>
      <c r="X69" s="329"/>
      <c r="Y69" s="330"/>
      <c r="Z69" s="330"/>
      <c r="AA69" s="331"/>
      <c r="AB69" s="265"/>
    </row>
    <row r="70" spans="1:29" ht="14.25">
      <c r="A70" s="496"/>
      <c r="B70" s="265"/>
      <c r="C70" s="265"/>
      <c r="D70" s="761"/>
      <c r="E70" s="762"/>
      <c r="F70" s="762"/>
      <c r="G70" s="763"/>
      <c r="H70" s="304"/>
      <c r="I70" s="742"/>
      <c r="J70" s="743"/>
      <c r="K70" s="743"/>
      <c r="L70" s="744"/>
      <c r="M70" s="304"/>
      <c r="N70" s="742"/>
      <c r="O70" s="743"/>
      <c r="P70" s="743"/>
      <c r="Q70" s="744"/>
      <c r="R70" s="304"/>
      <c r="S70" s="742"/>
      <c r="T70" s="743"/>
      <c r="U70" s="743"/>
      <c r="V70" s="744"/>
      <c r="W70" s="304"/>
      <c r="X70" s="742"/>
      <c r="Y70" s="743"/>
      <c r="Z70" s="743"/>
      <c r="AA70" s="744"/>
      <c r="AB70" s="265"/>
    </row>
    <row r="71" spans="1:29" ht="14.25">
      <c r="A71" s="496"/>
      <c r="B71" s="265"/>
      <c r="C71" s="265"/>
      <c r="D71" s="761"/>
      <c r="E71" s="762"/>
      <c r="F71" s="762"/>
      <c r="G71" s="763"/>
      <c r="H71" s="304"/>
      <c r="I71" s="742"/>
      <c r="J71" s="743"/>
      <c r="K71" s="743"/>
      <c r="L71" s="744"/>
      <c r="M71" s="304"/>
      <c r="N71" s="742"/>
      <c r="O71" s="743"/>
      <c r="P71" s="743"/>
      <c r="Q71" s="744"/>
      <c r="R71" s="304"/>
      <c r="S71" s="742"/>
      <c r="T71" s="743"/>
      <c r="U71" s="743"/>
      <c r="V71" s="744"/>
      <c r="W71" s="304"/>
      <c r="X71" s="742"/>
      <c r="Y71" s="743"/>
      <c r="Z71" s="743"/>
      <c r="AA71" s="744"/>
      <c r="AB71" s="265"/>
    </row>
    <row r="72" spans="1:29" ht="14.25">
      <c r="A72" s="496"/>
      <c r="B72" s="265"/>
      <c r="C72" s="265"/>
      <c r="D72" s="761"/>
      <c r="E72" s="762"/>
      <c r="F72" s="762"/>
      <c r="G72" s="763"/>
      <c r="H72" s="304"/>
      <c r="I72" s="742"/>
      <c r="J72" s="743"/>
      <c r="K72" s="743"/>
      <c r="L72" s="744"/>
      <c r="M72" s="304"/>
      <c r="N72" s="742"/>
      <c r="O72" s="743"/>
      <c r="P72" s="743"/>
      <c r="Q72" s="744"/>
      <c r="R72" s="304"/>
      <c r="S72" s="742"/>
      <c r="T72" s="743"/>
      <c r="U72" s="743"/>
      <c r="V72" s="744"/>
      <c r="W72" s="304"/>
      <c r="X72" s="742"/>
      <c r="Y72" s="743"/>
      <c r="Z72" s="743"/>
      <c r="AA72" s="744"/>
      <c r="AB72" s="265"/>
    </row>
    <row r="73" spans="1:29" ht="15">
      <c r="A73" s="496"/>
      <c r="B73" s="265"/>
      <c r="C73" s="265"/>
      <c r="D73" s="879" t="s">
        <v>297</v>
      </c>
      <c r="E73" s="880"/>
      <c r="F73" s="881"/>
      <c r="G73" s="882"/>
      <c r="H73" s="304"/>
      <c r="I73" s="732" t="s">
        <v>298</v>
      </c>
      <c r="J73" s="736"/>
      <c r="K73" s="737"/>
      <c r="L73" s="738"/>
      <c r="M73" s="304"/>
      <c r="N73" s="953" t="s">
        <v>299</v>
      </c>
      <c r="O73" s="954"/>
      <c r="P73" s="955"/>
      <c r="Q73" s="956"/>
      <c r="R73" s="304"/>
      <c r="S73" s="953" t="s">
        <v>300</v>
      </c>
      <c r="T73" s="954"/>
      <c r="U73" s="955"/>
      <c r="V73" s="956"/>
      <c r="W73" s="304"/>
      <c r="X73" s="879" t="s">
        <v>301</v>
      </c>
      <c r="Y73" s="880"/>
      <c r="Z73" s="881"/>
      <c r="AA73" s="882"/>
      <c r="AB73" s="265"/>
    </row>
    <row r="74" spans="1:29" ht="16.149999999999999" customHeight="1" thickBot="1">
      <c r="A74" s="496"/>
      <c r="B74" s="265"/>
      <c r="C74" s="265"/>
      <c r="D74" s="858">
        <v>0.5</v>
      </c>
      <c r="E74" s="859"/>
      <c r="F74" s="752">
        <v>0</v>
      </c>
      <c r="G74" s="753"/>
      <c r="H74" s="304"/>
      <c r="I74" s="858">
        <v>0.95</v>
      </c>
      <c r="J74" s="859"/>
      <c r="K74" s="752">
        <v>0</v>
      </c>
      <c r="L74" s="753"/>
      <c r="M74" s="304"/>
      <c r="N74" s="858">
        <v>0.55000000000000004</v>
      </c>
      <c r="O74" s="859"/>
      <c r="P74" s="752">
        <v>0</v>
      </c>
      <c r="Q74" s="753"/>
      <c r="R74" s="304"/>
      <c r="S74" s="858">
        <v>0.7</v>
      </c>
      <c r="T74" s="859"/>
      <c r="U74" s="752">
        <v>0</v>
      </c>
      <c r="V74" s="753"/>
      <c r="W74" s="304"/>
      <c r="X74" s="858">
        <v>0.9</v>
      </c>
      <c r="Y74" s="859"/>
      <c r="Z74" s="752">
        <v>0</v>
      </c>
      <c r="AA74" s="753"/>
      <c r="AB74" s="265"/>
    </row>
    <row r="75" spans="1:29" s="528" customFormat="1" ht="16.149999999999999" customHeight="1">
      <c r="A75" s="524"/>
      <c r="B75" s="629"/>
      <c r="C75" s="629"/>
      <c r="D75" s="607">
        <f>D74*G75</f>
        <v>112.5</v>
      </c>
      <c r="E75" s="1005" t="s">
        <v>333</v>
      </c>
      <c r="F75" s="1005"/>
      <c r="G75" s="614">
        <v>225</v>
      </c>
      <c r="H75" s="611"/>
      <c r="I75" s="607">
        <f>I74*L75</f>
        <v>171</v>
      </c>
      <c r="J75" s="1005" t="s">
        <v>333</v>
      </c>
      <c r="K75" s="1005"/>
      <c r="L75" s="614">
        <v>180</v>
      </c>
      <c r="M75" s="611"/>
      <c r="N75" s="607">
        <f>N74*Q75</f>
        <v>82.5</v>
      </c>
      <c r="O75" s="652"/>
      <c r="P75" s="653" t="s">
        <v>333</v>
      </c>
      <c r="Q75" s="614">
        <v>150</v>
      </c>
      <c r="R75" s="611"/>
      <c r="S75" s="607">
        <f>S74*V75</f>
        <v>157.5</v>
      </c>
      <c r="T75" s="652"/>
      <c r="U75" s="653" t="s">
        <v>333</v>
      </c>
      <c r="V75" s="614">
        <v>225</v>
      </c>
      <c r="W75" s="611"/>
      <c r="X75" s="607">
        <f>X74*AA75</f>
        <v>162</v>
      </c>
      <c r="Y75" s="652"/>
      <c r="Z75" s="653" t="s">
        <v>333</v>
      </c>
      <c r="AA75" s="614">
        <v>180</v>
      </c>
      <c r="AB75" s="629"/>
      <c r="AC75" s="527"/>
    </row>
    <row r="76" spans="1:29" ht="10.15" customHeight="1">
      <c r="A76" s="496"/>
      <c r="B76" s="265"/>
      <c r="C76" s="265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265"/>
    </row>
    <row r="77" spans="1:29" s="198" customFormat="1" ht="14.25">
      <c r="A77" s="502"/>
      <c r="B77" s="265"/>
      <c r="C77" s="265"/>
      <c r="D77" s="766"/>
      <c r="E77" s="767"/>
      <c r="F77" s="767"/>
      <c r="G77" s="768"/>
      <c r="H77" s="371"/>
      <c r="I77" s="766"/>
      <c r="J77" s="767"/>
      <c r="K77" s="767"/>
      <c r="L77" s="768"/>
      <c r="M77" s="304"/>
      <c r="N77" s="766"/>
      <c r="O77" s="767"/>
      <c r="P77" s="767"/>
      <c r="Q77" s="768"/>
      <c r="R77" s="371"/>
      <c r="S77" s="766"/>
      <c r="T77" s="767"/>
      <c r="U77" s="767"/>
      <c r="V77" s="768"/>
      <c r="W77" s="304"/>
      <c r="X77" s="766"/>
      <c r="Y77" s="767"/>
      <c r="Z77" s="767"/>
      <c r="AA77" s="768"/>
      <c r="AB77" s="265"/>
      <c r="AC77" s="448"/>
    </row>
    <row r="78" spans="1:29" s="197" customFormat="1" ht="15">
      <c r="A78" s="501"/>
      <c r="B78" s="265"/>
      <c r="C78" s="265"/>
      <c r="D78" s="761"/>
      <c r="E78" s="762"/>
      <c r="F78" s="762"/>
      <c r="G78" s="763"/>
      <c r="H78" s="371"/>
      <c r="I78" s="761"/>
      <c r="J78" s="762"/>
      <c r="K78" s="762"/>
      <c r="L78" s="763"/>
      <c r="M78" s="304"/>
      <c r="N78" s="761"/>
      <c r="O78" s="762"/>
      <c r="P78" s="762"/>
      <c r="Q78" s="763"/>
      <c r="R78" s="371"/>
      <c r="S78" s="761"/>
      <c r="T78" s="762"/>
      <c r="U78" s="762"/>
      <c r="V78" s="763"/>
      <c r="W78" s="304"/>
      <c r="X78" s="761"/>
      <c r="Y78" s="762"/>
      <c r="Z78" s="762"/>
      <c r="AA78" s="763"/>
      <c r="AB78" s="265"/>
      <c r="AC78" s="447"/>
    </row>
    <row r="79" spans="1:29" ht="13.5" customHeight="1">
      <c r="A79" s="496"/>
      <c r="B79" s="265"/>
      <c r="C79" s="265"/>
      <c r="D79" s="347"/>
      <c r="E79" s="348"/>
      <c r="F79" s="348"/>
      <c r="G79" s="349"/>
      <c r="H79" s="371"/>
      <c r="I79" s="347"/>
      <c r="J79" s="348"/>
      <c r="K79" s="348"/>
      <c r="L79" s="349"/>
      <c r="M79" s="304"/>
      <c r="N79" s="347"/>
      <c r="O79" s="348"/>
      <c r="P79" s="348"/>
      <c r="Q79" s="349"/>
      <c r="R79" s="371"/>
      <c r="S79" s="347"/>
      <c r="T79" s="348"/>
      <c r="U79" s="348"/>
      <c r="V79" s="349"/>
      <c r="W79" s="304"/>
      <c r="X79" s="347"/>
      <c r="Y79" s="348"/>
      <c r="Z79" s="348"/>
      <c r="AA79" s="349"/>
      <c r="AB79" s="265"/>
    </row>
    <row r="80" spans="1:29" ht="14.25">
      <c r="A80" s="496"/>
      <c r="B80" s="265"/>
      <c r="C80" s="265"/>
      <c r="D80" s="347"/>
      <c r="E80" s="348"/>
      <c r="F80" s="348"/>
      <c r="G80" s="349"/>
      <c r="H80" s="371"/>
      <c r="I80" s="347"/>
      <c r="J80" s="348"/>
      <c r="K80" s="348"/>
      <c r="L80" s="349"/>
      <c r="M80" s="304"/>
      <c r="N80" s="347"/>
      <c r="O80" s="348"/>
      <c r="P80" s="348"/>
      <c r="Q80" s="349"/>
      <c r="R80" s="371"/>
      <c r="S80" s="347"/>
      <c r="T80" s="348"/>
      <c r="U80" s="348"/>
      <c r="V80" s="349"/>
      <c r="W80" s="304"/>
      <c r="X80" s="347"/>
      <c r="Y80" s="348"/>
      <c r="Z80" s="348"/>
      <c r="AA80" s="349"/>
      <c r="AB80" s="265"/>
    </row>
    <row r="81" spans="1:29" ht="14.25">
      <c r="A81" s="496"/>
      <c r="B81" s="265"/>
      <c r="C81" s="265"/>
      <c r="D81" s="761"/>
      <c r="E81" s="762"/>
      <c r="F81" s="762"/>
      <c r="G81" s="763"/>
      <c r="H81" s="371"/>
      <c r="I81" s="761"/>
      <c r="J81" s="762"/>
      <c r="K81" s="762"/>
      <c r="L81" s="763"/>
      <c r="M81" s="304"/>
      <c r="N81" s="761"/>
      <c r="O81" s="762"/>
      <c r="P81" s="762"/>
      <c r="Q81" s="763"/>
      <c r="R81" s="371"/>
      <c r="S81" s="761"/>
      <c r="T81" s="762"/>
      <c r="U81" s="762"/>
      <c r="V81" s="763"/>
      <c r="W81" s="304"/>
      <c r="X81" s="761"/>
      <c r="Y81" s="762"/>
      <c r="Z81" s="762"/>
      <c r="AA81" s="763"/>
      <c r="AB81" s="265"/>
    </row>
    <row r="82" spans="1:29" ht="14.25">
      <c r="A82" s="496"/>
      <c r="B82" s="265"/>
      <c r="C82" s="265"/>
      <c r="D82" s="965"/>
      <c r="E82" s="966"/>
      <c r="F82" s="966"/>
      <c r="G82" s="967"/>
      <c r="H82" s="371"/>
      <c r="I82" s="761"/>
      <c r="J82" s="762"/>
      <c r="K82" s="762"/>
      <c r="L82" s="763"/>
      <c r="M82" s="304"/>
      <c r="N82" s="965"/>
      <c r="O82" s="966"/>
      <c r="P82" s="966"/>
      <c r="Q82" s="967"/>
      <c r="R82" s="371"/>
      <c r="S82" s="761"/>
      <c r="T82" s="762"/>
      <c r="U82" s="762"/>
      <c r="V82" s="763"/>
      <c r="W82" s="304"/>
      <c r="X82" s="761"/>
      <c r="Y82" s="762"/>
      <c r="Z82" s="762"/>
      <c r="AA82" s="763"/>
      <c r="AB82" s="265"/>
    </row>
    <row r="83" spans="1:29" ht="15">
      <c r="A83" s="496"/>
      <c r="B83" s="274"/>
      <c r="C83" s="274"/>
      <c r="D83" s="957" t="s">
        <v>302</v>
      </c>
      <c r="E83" s="958"/>
      <c r="F83" s="959"/>
      <c r="G83" s="960"/>
      <c r="H83" s="304"/>
      <c r="I83" s="732" t="s">
        <v>303</v>
      </c>
      <c r="J83" s="733"/>
      <c r="K83" s="734"/>
      <c r="L83" s="735"/>
      <c r="M83" s="304"/>
      <c r="N83" s="879" t="s">
        <v>304</v>
      </c>
      <c r="O83" s="880"/>
      <c r="P83" s="881"/>
      <c r="Q83" s="882"/>
      <c r="R83" s="304"/>
      <c r="S83" s="879" t="s">
        <v>305</v>
      </c>
      <c r="T83" s="880"/>
      <c r="U83" s="881"/>
      <c r="V83" s="882"/>
      <c r="W83" s="304"/>
      <c r="X83" s="879" t="s">
        <v>306</v>
      </c>
      <c r="Y83" s="880"/>
      <c r="Z83" s="881"/>
      <c r="AA83" s="882"/>
      <c r="AB83" s="265"/>
    </row>
    <row r="84" spans="1:29" ht="16.149999999999999" customHeight="1" thickBot="1">
      <c r="A84" s="496"/>
      <c r="B84" s="265"/>
      <c r="C84" s="265"/>
      <c r="D84" s="755">
        <v>0.9</v>
      </c>
      <c r="E84" s="756"/>
      <c r="F84" s="752">
        <v>0</v>
      </c>
      <c r="G84" s="753"/>
      <c r="H84" s="304"/>
      <c r="I84" s="755">
        <v>0.75</v>
      </c>
      <c r="J84" s="756"/>
      <c r="K84" s="752">
        <v>0</v>
      </c>
      <c r="L84" s="753"/>
      <c r="M84" s="304"/>
      <c r="N84" s="755">
        <v>0.69</v>
      </c>
      <c r="O84" s="756"/>
      <c r="P84" s="752">
        <v>0</v>
      </c>
      <c r="Q84" s="753"/>
      <c r="R84" s="304"/>
      <c r="S84" s="755">
        <v>0.8</v>
      </c>
      <c r="T84" s="756"/>
      <c r="U84" s="752">
        <v>0</v>
      </c>
      <c r="V84" s="753"/>
      <c r="W84" s="304"/>
      <c r="X84" s="755">
        <v>0.75</v>
      </c>
      <c r="Y84" s="756"/>
      <c r="Z84" s="752">
        <v>0</v>
      </c>
      <c r="AA84" s="753"/>
      <c r="AB84" s="265"/>
    </row>
    <row r="85" spans="1:29" s="528" customFormat="1" ht="16.149999999999999" customHeight="1">
      <c r="A85" s="524"/>
      <c r="B85" s="629"/>
      <c r="C85" s="629"/>
      <c r="D85" s="607">
        <f>D84*G85</f>
        <v>220.5</v>
      </c>
      <c r="E85" s="652"/>
      <c r="F85" s="653" t="s">
        <v>333</v>
      </c>
      <c r="G85" s="614">
        <v>245</v>
      </c>
      <c r="H85" s="611"/>
      <c r="I85" s="607">
        <f>I84*L85</f>
        <v>135</v>
      </c>
      <c r="J85" s="652"/>
      <c r="K85" s="653" t="s">
        <v>333</v>
      </c>
      <c r="L85" s="614">
        <v>180</v>
      </c>
      <c r="M85" s="611"/>
      <c r="N85" s="607">
        <f>N84*Q85</f>
        <v>155.25</v>
      </c>
      <c r="O85" s="652"/>
      <c r="P85" s="653" t="s">
        <v>333</v>
      </c>
      <c r="Q85" s="614">
        <v>225</v>
      </c>
      <c r="R85" s="611"/>
      <c r="S85" s="607">
        <f>S84*V85</f>
        <v>192</v>
      </c>
      <c r="T85" s="652"/>
      <c r="U85" s="653" t="s">
        <v>333</v>
      </c>
      <c r="V85" s="614">
        <v>240</v>
      </c>
      <c r="W85" s="611"/>
      <c r="X85" s="607">
        <f>X84*AA85</f>
        <v>225</v>
      </c>
      <c r="Y85" s="652"/>
      <c r="Z85" s="653" t="s">
        <v>333</v>
      </c>
      <c r="AA85" s="614">
        <v>300</v>
      </c>
      <c r="AB85" s="629"/>
      <c r="AC85" s="527"/>
    </row>
    <row r="86" spans="1:29" ht="10.15" customHeight="1">
      <c r="A86" s="496"/>
      <c r="B86" s="265"/>
      <c r="C86" s="265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265"/>
    </row>
    <row r="87" spans="1:29" s="193" customFormat="1" ht="14.25">
      <c r="A87" s="499"/>
      <c r="B87" s="265"/>
      <c r="C87" s="265"/>
      <c r="D87" s="739"/>
      <c r="E87" s="740"/>
      <c r="F87" s="740"/>
      <c r="G87" s="741"/>
      <c r="H87" s="304"/>
      <c r="I87" s="739"/>
      <c r="J87" s="740"/>
      <c r="K87" s="740"/>
      <c r="L87" s="741"/>
      <c r="M87" s="304"/>
      <c r="N87" s="739"/>
      <c r="O87" s="740"/>
      <c r="P87" s="740"/>
      <c r="Q87" s="741"/>
      <c r="R87" s="304"/>
      <c r="S87" s="739"/>
      <c r="T87" s="740"/>
      <c r="U87" s="740"/>
      <c r="V87" s="741"/>
      <c r="W87" s="304"/>
      <c r="X87" s="739"/>
      <c r="Y87" s="740"/>
      <c r="Z87" s="740"/>
      <c r="AA87" s="741"/>
      <c r="AB87" s="265"/>
      <c r="AC87" s="423"/>
    </row>
    <row r="88" spans="1:29" s="197" customFormat="1" ht="15">
      <c r="A88" s="501"/>
      <c r="B88" s="265"/>
      <c r="C88" s="265"/>
      <c r="D88" s="742"/>
      <c r="E88" s="743"/>
      <c r="F88" s="743"/>
      <c r="G88" s="744"/>
      <c r="H88" s="304"/>
      <c r="I88" s="742"/>
      <c r="J88" s="743"/>
      <c r="K88" s="743"/>
      <c r="L88" s="744"/>
      <c r="M88" s="304"/>
      <c r="N88" s="742"/>
      <c r="O88" s="743"/>
      <c r="P88" s="743"/>
      <c r="Q88" s="744"/>
      <c r="R88" s="304"/>
      <c r="S88" s="742"/>
      <c r="T88" s="743"/>
      <c r="U88" s="743"/>
      <c r="V88" s="744"/>
      <c r="W88" s="304"/>
      <c r="X88" s="742"/>
      <c r="Y88" s="743"/>
      <c r="Z88" s="743"/>
      <c r="AA88" s="744"/>
      <c r="AB88" s="265"/>
      <c r="AC88" s="447"/>
    </row>
    <row r="89" spans="1:29" ht="14.25">
      <c r="A89" s="496"/>
      <c r="B89" s="265"/>
      <c r="C89" s="265"/>
      <c r="D89" s="329"/>
      <c r="E89" s="330"/>
      <c r="F89" s="330"/>
      <c r="G89" s="331"/>
      <c r="H89" s="304"/>
      <c r="I89" s="329"/>
      <c r="J89" s="330"/>
      <c r="K89" s="330"/>
      <c r="L89" s="331"/>
      <c r="M89" s="304"/>
      <c r="N89" s="329"/>
      <c r="O89" s="330"/>
      <c r="P89" s="330"/>
      <c r="Q89" s="331"/>
      <c r="R89" s="304"/>
      <c r="S89" s="329"/>
      <c r="T89" s="330"/>
      <c r="U89" s="330"/>
      <c r="V89" s="331"/>
      <c r="W89" s="304"/>
      <c r="X89" s="329"/>
      <c r="Y89" s="330"/>
      <c r="Z89" s="330"/>
      <c r="AA89" s="331"/>
      <c r="AB89" s="265"/>
    </row>
    <row r="90" spans="1:29" ht="14.25">
      <c r="A90" s="496"/>
      <c r="B90" s="265"/>
      <c r="C90" s="265"/>
      <c r="D90" s="742"/>
      <c r="E90" s="743"/>
      <c r="F90" s="743"/>
      <c r="G90" s="744"/>
      <c r="H90" s="304"/>
      <c r="I90" s="742"/>
      <c r="J90" s="743"/>
      <c r="K90" s="743"/>
      <c r="L90" s="744"/>
      <c r="M90" s="304"/>
      <c r="N90" s="742"/>
      <c r="O90" s="743"/>
      <c r="P90" s="743"/>
      <c r="Q90" s="744"/>
      <c r="R90" s="304"/>
      <c r="S90" s="742"/>
      <c r="T90" s="743"/>
      <c r="U90" s="743"/>
      <c r="V90" s="744"/>
      <c r="W90" s="304"/>
      <c r="X90" s="742"/>
      <c r="Y90" s="743"/>
      <c r="Z90" s="743"/>
      <c r="AA90" s="744"/>
      <c r="AB90" s="265"/>
    </row>
    <row r="91" spans="1:29" ht="14.25">
      <c r="A91" s="496"/>
      <c r="B91" s="265"/>
      <c r="C91" s="265"/>
      <c r="D91" s="742"/>
      <c r="E91" s="743"/>
      <c r="F91" s="743"/>
      <c r="G91" s="744"/>
      <c r="H91" s="304"/>
      <c r="I91" s="742"/>
      <c r="J91" s="743"/>
      <c r="K91" s="743"/>
      <c r="L91" s="744"/>
      <c r="M91" s="304"/>
      <c r="N91" s="742"/>
      <c r="O91" s="743"/>
      <c r="P91" s="743"/>
      <c r="Q91" s="744"/>
      <c r="R91" s="304"/>
      <c r="S91" s="742"/>
      <c r="T91" s="743"/>
      <c r="U91" s="743"/>
      <c r="V91" s="744"/>
      <c r="W91" s="304"/>
      <c r="X91" s="742"/>
      <c r="Y91" s="743"/>
      <c r="Z91" s="743"/>
      <c r="AA91" s="744"/>
      <c r="AB91" s="265"/>
    </row>
    <row r="92" spans="1:29" ht="14.25">
      <c r="A92" s="496"/>
      <c r="B92" s="265"/>
      <c r="C92" s="265"/>
      <c r="D92" s="785"/>
      <c r="E92" s="786"/>
      <c r="F92" s="786"/>
      <c r="G92" s="787"/>
      <c r="H92" s="304"/>
      <c r="I92" s="785"/>
      <c r="J92" s="786"/>
      <c r="K92" s="786"/>
      <c r="L92" s="787"/>
      <c r="M92" s="304"/>
      <c r="N92" s="785"/>
      <c r="O92" s="786"/>
      <c r="P92" s="786"/>
      <c r="Q92" s="787"/>
      <c r="R92" s="304"/>
      <c r="S92" s="785"/>
      <c r="T92" s="786"/>
      <c r="U92" s="786"/>
      <c r="V92" s="787"/>
      <c r="W92" s="304"/>
      <c r="X92" s="785"/>
      <c r="Y92" s="786"/>
      <c r="Z92" s="786"/>
      <c r="AA92" s="787"/>
      <c r="AB92" s="265"/>
    </row>
    <row r="93" spans="1:29" ht="15">
      <c r="A93" s="496"/>
      <c r="B93" s="265"/>
      <c r="C93" s="265"/>
      <c r="D93" s="957" t="s">
        <v>307</v>
      </c>
      <c r="E93" s="958"/>
      <c r="F93" s="959"/>
      <c r="G93" s="960"/>
      <c r="H93" s="304"/>
      <c r="I93" s="957" t="s">
        <v>308</v>
      </c>
      <c r="J93" s="958"/>
      <c r="K93" s="959"/>
      <c r="L93" s="960"/>
      <c r="M93" s="304"/>
      <c r="N93" s="879" t="s">
        <v>309</v>
      </c>
      <c r="O93" s="880"/>
      <c r="P93" s="881"/>
      <c r="Q93" s="882"/>
      <c r="R93" s="304"/>
      <c r="S93" s="732" t="s">
        <v>428</v>
      </c>
      <c r="T93" s="733"/>
      <c r="U93" s="734"/>
      <c r="V93" s="735"/>
      <c r="W93" s="304"/>
      <c r="X93" s="879" t="s">
        <v>310</v>
      </c>
      <c r="Y93" s="880"/>
      <c r="Z93" s="881"/>
      <c r="AA93" s="882"/>
      <c r="AB93" s="265"/>
    </row>
    <row r="94" spans="1:29" ht="16.149999999999999" customHeight="1" thickBot="1">
      <c r="A94" s="496"/>
      <c r="B94" s="265"/>
      <c r="C94" s="265"/>
      <c r="D94" s="1022">
        <v>0.75</v>
      </c>
      <c r="E94" s="1023"/>
      <c r="F94" s="909">
        <v>0</v>
      </c>
      <c r="G94" s="910"/>
      <c r="H94" s="304"/>
      <c r="I94" s="1020">
        <v>0.7</v>
      </c>
      <c r="J94" s="1021"/>
      <c r="K94" s="909">
        <v>0</v>
      </c>
      <c r="L94" s="910"/>
      <c r="M94" s="304"/>
      <c r="N94" s="858">
        <v>0.7</v>
      </c>
      <c r="O94" s="859"/>
      <c r="P94" s="752">
        <v>0</v>
      </c>
      <c r="Q94" s="753"/>
      <c r="R94" s="304"/>
      <c r="S94" s="858">
        <v>0.8</v>
      </c>
      <c r="T94" s="859"/>
      <c r="U94" s="752">
        <v>0</v>
      </c>
      <c r="V94" s="753"/>
      <c r="W94" s="304"/>
      <c r="X94" s="858">
        <v>0.8</v>
      </c>
      <c r="Y94" s="859"/>
      <c r="Z94" s="752">
        <v>0</v>
      </c>
      <c r="AA94" s="753"/>
      <c r="AB94" s="265"/>
    </row>
    <row r="95" spans="1:29" s="528" customFormat="1" ht="16.149999999999999" customHeight="1">
      <c r="A95" s="524"/>
      <c r="B95" s="629"/>
      <c r="C95" s="629"/>
      <c r="D95" s="607">
        <f>D94*G95</f>
        <v>225</v>
      </c>
      <c r="E95" s="652"/>
      <c r="F95" s="653" t="s">
        <v>333</v>
      </c>
      <c r="G95" s="614">
        <v>300</v>
      </c>
      <c r="H95" s="611"/>
      <c r="I95" s="607">
        <f>I94*L95</f>
        <v>101.5</v>
      </c>
      <c r="J95" s="608"/>
      <c r="K95" s="609" t="s">
        <v>333</v>
      </c>
      <c r="L95" s="610">
        <v>145</v>
      </c>
      <c r="M95" s="611"/>
      <c r="N95" s="607">
        <f>N94*Q95</f>
        <v>101.5</v>
      </c>
      <c r="O95" s="608"/>
      <c r="P95" s="609" t="s">
        <v>333</v>
      </c>
      <c r="Q95" s="610">
        <v>145</v>
      </c>
      <c r="R95" s="611"/>
      <c r="S95" s="607">
        <f>S94*V95</f>
        <v>80</v>
      </c>
      <c r="T95" s="608"/>
      <c r="U95" s="609" t="s">
        <v>333</v>
      </c>
      <c r="V95" s="610">
        <v>100</v>
      </c>
      <c r="W95" s="611"/>
      <c r="X95" s="607">
        <f>X94*AA95</f>
        <v>80</v>
      </c>
      <c r="Y95" s="608"/>
      <c r="Z95" s="609" t="s">
        <v>333</v>
      </c>
      <c r="AA95" s="610">
        <v>100</v>
      </c>
      <c r="AB95" s="629"/>
      <c r="AC95" s="527"/>
    </row>
    <row r="96" spans="1:29" ht="10.15" customHeight="1">
      <c r="A96" s="496"/>
      <c r="B96" s="265"/>
      <c r="C96" s="265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265"/>
    </row>
    <row r="97" spans="1:29" ht="14.25">
      <c r="A97" s="496"/>
      <c r="B97" s="265"/>
      <c r="C97" s="265"/>
      <c r="D97" s="895"/>
      <c r="E97" s="896"/>
      <c r="F97" s="896"/>
      <c r="G97" s="897"/>
      <c r="H97" s="304"/>
      <c r="I97" s="895"/>
      <c r="J97" s="896"/>
      <c r="K97" s="896"/>
      <c r="L97" s="897"/>
      <c r="M97" s="304"/>
      <c r="N97" s="372"/>
      <c r="O97" s="372"/>
      <c r="P97" s="372"/>
      <c r="Q97" s="372"/>
      <c r="R97" s="304"/>
      <c r="S97" s="764"/>
      <c r="T97" s="764"/>
      <c r="U97" s="764"/>
      <c r="V97" s="764"/>
      <c r="W97" s="304"/>
      <c r="X97" s="764"/>
      <c r="Y97" s="764"/>
      <c r="Z97" s="764"/>
      <c r="AA97" s="764"/>
      <c r="AB97" s="265"/>
    </row>
    <row r="98" spans="1:29" ht="14.25">
      <c r="A98" s="496"/>
      <c r="B98" s="265"/>
      <c r="C98" s="265"/>
      <c r="D98" s="898"/>
      <c r="E98" s="899"/>
      <c r="F98" s="899"/>
      <c r="G98" s="900"/>
      <c r="H98" s="304"/>
      <c r="I98" s="898"/>
      <c r="J98" s="899"/>
      <c r="K98" s="899"/>
      <c r="L98" s="900"/>
      <c r="M98" s="304"/>
      <c r="N98" s="372"/>
      <c r="O98" s="372"/>
      <c r="P98" s="372"/>
      <c r="Q98" s="372"/>
      <c r="R98" s="304"/>
      <c r="S98" s="764"/>
      <c r="T98" s="764"/>
      <c r="U98" s="764"/>
      <c r="V98" s="764"/>
      <c r="W98" s="304"/>
      <c r="X98" s="764"/>
      <c r="Y98" s="764"/>
      <c r="Z98" s="764"/>
      <c r="AA98" s="764"/>
      <c r="AB98" s="265"/>
    </row>
    <row r="99" spans="1:29" ht="14.25">
      <c r="A99" s="496"/>
      <c r="B99" s="265"/>
      <c r="C99" s="265"/>
      <c r="D99" s="898"/>
      <c r="E99" s="899"/>
      <c r="F99" s="899"/>
      <c r="G99" s="900"/>
      <c r="H99" s="304"/>
      <c r="I99" s="898"/>
      <c r="J99" s="899"/>
      <c r="K99" s="899"/>
      <c r="L99" s="900"/>
      <c r="M99" s="304"/>
      <c r="N99" s="335"/>
      <c r="O99" s="335"/>
      <c r="P99" s="335"/>
      <c r="Q99" s="335"/>
      <c r="R99" s="304"/>
      <c r="S99" s="764"/>
      <c r="T99" s="764"/>
      <c r="U99" s="764"/>
      <c r="V99" s="764"/>
      <c r="W99" s="304"/>
      <c r="X99" s="764"/>
      <c r="Y99" s="764"/>
      <c r="Z99" s="764"/>
      <c r="AA99" s="764"/>
      <c r="AB99" s="265"/>
    </row>
    <row r="100" spans="1:29" ht="12" customHeight="1">
      <c r="A100" s="496"/>
      <c r="B100" s="265"/>
      <c r="C100" s="265"/>
      <c r="D100" s="898"/>
      <c r="E100" s="899"/>
      <c r="F100" s="899"/>
      <c r="G100" s="900"/>
      <c r="H100" s="304"/>
      <c r="I100" s="898"/>
      <c r="J100" s="899"/>
      <c r="K100" s="899"/>
      <c r="L100" s="900"/>
      <c r="M100" s="304"/>
      <c r="N100" s="372"/>
      <c r="O100" s="372"/>
      <c r="P100" s="372"/>
      <c r="Q100" s="372"/>
      <c r="R100" s="304"/>
      <c r="S100" s="335"/>
      <c r="T100" s="335"/>
      <c r="U100" s="335"/>
      <c r="V100" s="335"/>
      <c r="W100" s="304"/>
      <c r="X100" s="335"/>
      <c r="Y100" s="335"/>
      <c r="Z100" s="335"/>
      <c r="AA100" s="335"/>
      <c r="AB100" s="265"/>
    </row>
    <row r="101" spans="1:29" ht="14.25">
      <c r="A101" s="496"/>
      <c r="B101" s="265"/>
      <c r="C101" s="265"/>
      <c r="D101" s="898"/>
      <c r="E101" s="899"/>
      <c r="F101" s="899"/>
      <c r="G101" s="900"/>
      <c r="H101" s="304"/>
      <c r="I101" s="898"/>
      <c r="J101" s="899"/>
      <c r="K101" s="899"/>
      <c r="L101" s="900"/>
      <c r="M101" s="304"/>
      <c r="N101" s="372"/>
      <c r="O101" s="372"/>
      <c r="P101" s="372"/>
      <c r="Q101" s="372"/>
      <c r="R101" s="304"/>
      <c r="S101" s="764"/>
      <c r="T101" s="764"/>
      <c r="U101" s="764"/>
      <c r="V101" s="764"/>
      <c r="W101" s="304"/>
      <c r="X101" s="764"/>
      <c r="Y101" s="764"/>
      <c r="Z101" s="764"/>
      <c r="AA101" s="764"/>
      <c r="AB101" s="265"/>
    </row>
    <row r="102" spans="1:29" ht="14.25">
      <c r="A102" s="496"/>
      <c r="B102" s="265"/>
      <c r="C102" s="265"/>
      <c r="D102" s="901"/>
      <c r="E102" s="902"/>
      <c r="F102" s="902"/>
      <c r="G102" s="903"/>
      <c r="H102" s="304"/>
      <c r="I102" s="901"/>
      <c r="J102" s="902"/>
      <c r="K102" s="902"/>
      <c r="L102" s="903"/>
      <c r="M102" s="304"/>
      <c r="N102" s="372"/>
      <c r="O102" s="372"/>
      <c r="P102" s="372"/>
      <c r="Q102" s="372"/>
      <c r="R102" s="304"/>
      <c r="S102" s="764"/>
      <c r="T102" s="764"/>
      <c r="U102" s="764"/>
      <c r="V102" s="764"/>
      <c r="W102" s="304"/>
      <c r="X102" s="764"/>
      <c r="Y102" s="764"/>
      <c r="Z102" s="764"/>
      <c r="AA102" s="764"/>
      <c r="AB102" s="265"/>
    </row>
    <row r="103" spans="1:29" ht="15">
      <c r="A103" s="496"/>
      <c r="B103" s="265"/>
      <c r="C103" s="265"/>
      <c r="D103" s="879" t="s">
        <v>290</v>
      </c>
      <c r="E103" s="880"/>
      <c r="F103" s="881"/>
      <c r="G103" s="882"/>
      <c r="H103" s="304"/>
      <c r="I103" s="879" t="s">
        <v>291</v>
      </c>
      <c r="J103" s="880"/>
      <c r="K103" s="881"/>
      <c r="L103" s="882"/>
      <c r="M103" s="304"/>
      <c r="N103" s="986"/>
      <c r="O103" s="987"/>
      <c r="P103" s="987"/>
      <c r="Q103" s="987"/>
      <c r="R103" s="304"/>
      <c r="S103" s="765"/>
      <c r="T103" s="765"/>
      <c r="U103" s="765"/>
      <c r="V103" s="765"/>
      <c r="W103" s="304"/>
      <c r="X103" s="765"/>
      <c r="Y103" s="765"/>
      <c r="Z103" s="765"/>
      <c r="AA103" s="765"/>
      <c r="AB103" s="265"/>
    </row>
    <row r="104" spans="1:29" s="199" customFormat="1" ht="16.149999999999999" customHeight="1" thickBot="1">
      <c r="A104" s="503"/>
      <c r="B104" s="265"/>
      <c r="C104" s="265"/>
      <c r="D104" s="755">
        <v>1.55</v>
      </c>
      <c r="E104" s="756"/>
      <c r="F104" s="752">
        <v>0</v>
      </c>
      <c r="G104" s="753"/>
      <c r="H104" s="304"/>
      <c r="I104" s="858">
        <v>1.65</v>
      </c>
      <c r="J104" s="859"/>
      <c r="K104" s="752">
        <v>0</v>
      </c>
      <c r="L104" s="753"/>
      <c r="M104" s="304"/>
      <c r="N104" s="822"/>
      <c r="O104" s="822"/>
      <c r="P104" s="754"/>
      <c r="Q104" s="754"/>
      <c r="R104" s="304"/>
      <c r="S104" s="822"/>
      <c r="T104" s="822"/>
      <c r="U104" s="754"/>
      <c r="V104" s="754"/>
      <c r="W104" s="304"/>
      <c r="X104" s="822"/>
      <c r="Y104" s="822"/>
      <c r="Z104" s="754"/>
      <c r="AA104" s="754"/>
      <c r="AB104" s="265"/>
      <c r="AC104" s="449"/>
    </row>
    <row r="105" spans="1:29" s="631" customFormat="1" ht="16.149999999999999" customHeight="1">
      <c r="A105" s="624"/>
      <c r="B105" s="525"/>
      <c r="C105" s="525"/>
      <c r="D105" s="607">
        <f>D104*G105</f>
        <v>111.60000000000001</v>
      </c>
      <c r="E105" s="652"/>
      <c r="F105" s="653" t="s">
        <v>333</v>
      </c>
      <c r="G105" s="614">
        <v>72</v>
      </c>
      <c r="H105" s="611"/>
      <c r="I105" s="607">
        <f>I104*L105</f>
        <v>99</v>
      </c>
      <c r="J105" s="608"/>
      <c r="K105" s="609" t="s">
        <v>333</v>
      </c>
      <c r="L105" s="610">
        <v>60</v>
      </c>
      <c r="M105" s="611"/>
      <c r="N105" s="654"/>
      <c r="O105" s="654"/>
      <c r="P105" s="655"/>
      <c r="Q105" s="655"/>
      <c r="R105" s="611"/>
      <c r="S105" s="654"/>
      <c r="T105" s="654"/>
      <c r="U105" s="655"/>
      <c r="V105" s="655"/>
      <c r="W105" s="611"/>
      <c r="X105" s="654"/>
      <c r="Y105" s="654"/>
      <c r="Z105" s="655"/>
      <c r="AA105" s="655"/>
      <c r="AB105" s="525"/>
      <c r="AC105" s="630"/>
    </row>
    <row r="106" spans="1:29" s="199" customFormat="1" ht="27" customHeight="1">
      <c r="A106" s="503"/>
      <c r="B106" s="265"/>
      <c r="C106" s="265"/>
      <c r="D106" s="309"/>
      <c r="E106" s="310"/>
      <c r="F106" s="311"/>
      <c r="G106" s="312"/>
      <c r="H106" s="305"/>
      <c r="I106" s="309"/>
      <c r="J106" s="310"/>
      <c r="K106" s="311"/>
      <c r="L106" s="312"/>
      <c r="M106" s="301"/>
      <c r="N106" s="307"/>
      <c r="O106" s="307"/>
      <c r="P106" s="308"/>
      <c r="Q106" s="308"/>
      <c r="R106" s="301"/>
      <c r="S106" s="307"/>
      <c r="T106" s="307"/>
      <c r="U106" s="308"/>
      <c r="V106" s="308"/>
      <c r="W106" s="301"/>
      <c r="X106" s="307"/>
      <c r="Y106" s="307"/>
      <c r="Z106" s="308"/>
      <c r="AA106" s="308"/>
      <c r="AB106" s="265"/>
      <c r="AC106" s="449"/>
    </row>
    <row r="107" spans="1:29" s="193" customFormat="1" ht="27" customHeight="1">
      <c r="A107" s="499"/>
      <c r="B107" s="286"/>
      <c r="C107" s="286"/>
      <c r="D107" s="731" t="s">
        <v>571</v>
      </c>
      <c r="E107" s="731"/>
      <c r="F107" s="731"/>
      <c r="G107" s="731"/>
      <c r="H107" s="731"/>
      <c r="I107" s="731"/>
      <c r="J107" s="731"/>
      <c r="K107" s="731"/>
      <c r="L107" s="731"/>
      <c r="M107" s="731"/>
      <c r="N107" s="731"/>
      <c r="O107" s="731"/>
      <c r="P107" s="731"/>
      <c r="Q107" s="731"/>
      <c r="R107" s="731"/>
      <c r="S107" s="731"/>
      <c r="T107" s="731"/>
      <c r="U107" s="731"/>
      <c r="V107" s="731"/>
      <c r="W107" s="731"/>
      <c r="X107" s="731"/>
      <c r="Y107" s="731"/>
      <c r="Z107" s="731"/>
      <c r="AA107" s="731"/>
      <c r="AB107" s="286"/>
      <c r="AC107" s="423"/>
    </row>
    <row r="108" spans="1:29" ht="27" customHeight="1">
      <c r="A108" s="496"/>
      <c r="B108" s="265"/>
      <c r="C108" s="265"/>
      <c r="D108" s="865" t="s">
        <v>311</v>
      </c>
      <c r="E108" s="865"/>
      <c r="F108" s="865"/>
      <c r="G108" s="865"/>
      <c r="H108" s="866"/>
      <c r="I108" s="865"/>
      <c r="J108" s="865"/>
      <c r="K108" s="865"/>
      <c r="L108" s="865"/>
      <c r="M108" s="866"/>
      <c r="N108" s="865"/>
      <c r="O108" s="865"/>
      <c r="P108" s="865"/>
      <c r="Q108" s="865"/>
      <c r="R108" s="866"/>
      <c r="S108" s="865"/>
      <c r="T108" s="865"/>
      <c r="U108" s="865"/>
      <c r="V108" s="865"/>
      <c r="W108" s="866"/>
      <c r="X108" s="865"/>
      <c r="Y108" s="865"/>
      <c r="Z108" s="865"/>
      <c r="AA108" s="865"/>
      <c r="AB108" s="441"/>
    </row>
    <row r="109" spans="1:29" s="190" customFormat="1" ht="18.75">
      <c r="A109" s="497"/>
      <c r="B109" s="995"/>
      <c r="C109" s="300"/>
      <c r="D109" s="762"/>
      <c r="E109" s="762"/>
      <c r="F109" s="762"/>
      <c r="G109" s="762"/>
      <c r="H109" s="366"/>
      <c r="I109" s="762"/>
      <c r="J109" s="762"/>
      <c r="K109" s="762"/>
      <c r="L109" s="762"/>
      <c r="M109" s="366"/>
      <c r="N109" s="762"/>
      <c r="O109" s="762"/>
      <c r="P109" s="762"/>
      <c r="Q109" s="762"/>
      <c r="R109" s="366"/>
      <c r="S109" s="762"/>
      <c r="T109" s="762"/>
      <c r="U109" s="762"/>
      <c r="V109" s="762"/>
      <c r="W109" s="366"/>
      <c r="X109" s="762"/>
      <c r="Y109" s="762"/>
      <c r="Z109" s="762"/>
      <c r="AA109" s="762"/>
      <c r="AB109" s="442"/>
      <c r="AC109" s="445"/>
    </row>
    <row r="110" spans="1:29" ht="15">
      <c r="A110" s="496"/>
      <c r="B110" s="995"/>
      <c r="C110" s="300"/>
      <c r="D110" s="743"/>
      <c r="E110" s="743"/>
      <c r="F110" s="743"/>
      <c r="G110" s="743"/>
      <c r="H110" s="366"/>
      <c r="I110" s="743"/>
      <c r="J110" s="743"/>
      <c r="K110" s="743"/>
      <c r="L110" s="743"/>
      <c r="M110" s="366"/>
      <c r="N110" s="743"/>
      <c r="O110" s="743"/>
      <c r="P110" s="743"/>
      <c r="Q110" s="743"/>
      <c r="R110" s="366"/>
      <c r="S110" s="743"/>
      <c r="T110" s="743"/>
      <c r="U110" s="743"/>
      <c r="V110" s="743"/>
      <c r="W110" s="366"/>
      <c r="X110" s="743"/>
      <c r="Y110" s="743"/>
      <c r="Z110" s="743"/>
      <c r="AA110" s="743"/>
      <c r="AB110" s="442"/>
    </row>
    <row r="111" spans="1:29" ht="12.6" customHeight="1">
      <c r="A111" s="496"/>
      <c r="B111" s="995"/>
      <c r="C111" s="300"/>
      <c r="D111" s="330"/>
      <c r="E111" s="330"/>
      <c r="F111" s="330"/>
      <c r="G111" s="330"/>
      <c r="H111" s="366"/>
      <c r="I111" s="330"/>
      <c r="J111" s="330"/>
      <c r="K111" s="330"/>
      <c r="L111" s="330"/>
      <c r="M111" s="366"/>
      <c r="N111" s="330"/>
      <c r="O111" s="330"/>
      <c r="P111" s="330"/>
      <c r="Q111" s="330"/>
      <c r="R111" s="366"/>
      <c r="S111" s="330"/>
      <c r="T111" s="330"/>
      <c r="U111" s="330"/>
      <c r="V111" s="330"/>
      <c r="W111" s="366"/>
      <c r="X111" s="330"/>
      <c r="Y111" s="330"/>
      <c r="Z111" s="330"/>
      <c r="AA111" s="330"/>
      <c r="AB111" s="442"/>
    </row>
    <row r="112" spans="1:29" ht="14.65" customHeight="1">
      <c r="A112" s="496"/>
      <c r="B112" s="995"/>
      <c r="C112" s="300"/>
      <c r="D112" s="743"/>
      <c r="E112" s="743"/>
      <c r="F112" s="743"/>
      <c r="G112" s="743"/>
      <c r="H112" s="366"/>
      <c r="I112" s="743"/>
      <c r="J112" s="743"/>
      <c r="K112" s="743"/>
      <c r="L112" s="743"/>
      <c r="M112" s="366"/>
      <c r="N112" s="743"/>
      <c r="O112" s="743"/>
      <c r="P112" s="743"/>
      <c r="Q112" s="743"/>
      <c r="R112" s="366"/>
      <c r="S112" s="743"/>
      <c r="T112" s="743"/>
      <c r="U112" s="743"/>
      <c r="V112" s="743"/>
      <c r="W112" s="366"/>
      <c r="X112" s="743"/>
      <c r="Y112" s="743"/>
      <c r="Z112" s="743"/>
      <c r="AA112" s="743"/>
      <c r="AB112" s="442"/>
    </row>
    <row r="113" spans="1:29" ht="15">
      <c r="A113" s="496"/>
      <c r="B113" s="995"/>
      <c r="C113" s="300"/>
      <c r="D113" s="743"/>
      <c r="E113" s="743"/>
      <c r="F113" s="743"/>
      <c r="G113" s="743"/>
      <c r="H113" s="366"/>
      <c r="I113" s="743"/>
      <c r="J113" s="743"/>
      <c r="K113" s="743"/>
      <c r="L113" s="743"/>
      <c r="M113" s="366"/>
      <c r="N113" s="743"/>
      <c r="O113" s="743"/>
      <c r="P113" s="743"/>
      <c r="Q113" s="743"/>
      <c r="R113" s="366"/>
      <c r="S113" s="743"/>
      <c r="T113" s="743"/>
      <c r="U113" s="743"/>
      <c r="V113" s="743"/>
      <c r="W113" s="366"/>
      <c r="X113" s="743"/>
      <c r="Y113" s="743"/>
      <c r="Z113" s="743"/>
      <c r="AA113" s="743"/>
      <c r="AB113" s="442"/>
    </row>
    <row r="114" spans="1:29" ht="15">
      <c r="A114" s="496"/>
      <c r="B114" s="995"/>
      <c r="C114" s="300"/>
      <c r="D114" s="746"/>
      <c r="E114" s="746"/>
      <c r="F114" s="746"/>
      <c r="G114" s="746"/>
      <c r="H114" s="366"/>
      <c r="I114" s="743"/>
      <c r="J114" s="743"/>
      <c r="K114" s="743"/>
      <c r="L114" s="743"/>
      <c r="M114" s="366"/>
      <c r="N114" s="743"/>
      <c r="O114" s="743"/>
      <c r="P114" s="743"/>
      <c r="Q114" s="743"/>
      <c r="R114" s="366"/>
      <c r="S114" s="743"/>
      <c r="T114" s="743"/>
      <c r="U114" s="743"/>
      <c r="V114" s="743"/>
      <c r="W114" s="366"/>
      <c r="X114" s="743"/>
      <c r="Y114" s="743"/>
      <c r="Z114" s="743"/>
      <c r="AA114" s="743"/>
      <c r="AB114" s="442"/>
    </row>
    <row r="115" spans="1:29" ht="15">
      <c r="A115" s="496"/>
      <c r="B115" s="995"/>
      <c r="C115" s="275"/>
      <c r="D115" s="884" t="s">
        <v>273</v>
      </c>
      <c r="E115" s="885"/>
      <c r="F115" s="885"/>
      <c r="G115" s="886"/>
      <c r="H115" s="304"/>
      <c r="I115" s="884" t="s">
        <v>274</v>
      </c>
      <c r="J115" s="885"/>
      <c r="K115" s="885"/>
      <c r="L115" s="886"/>
      <c r="M115" s="304"/>
      <c r="N115" s="884" t="s">
        <v>275</v>
      </c>
      <c r="O115" s="885"/>
      <c r="P115" s="885"/>
      <c r="Q115" s="886"/>
      <c r="R115" s="304"/>
      <c r="S115" s="884" t="s">
        <v>276</v>
      </c>
      <c r="T115" s="885"/>
      <c r="U115" s="885"/>
      <c r="V115" s="886"/>
      <c r="W115" s="304"/>
      <c r="X115" s="884" t="s">
        <v>277</v>
      </c>
      <c r="Y115" s="885"/>
      <c r="Z115" s="885"/>
      <c r="AA115" s="886"/>
      <c r="AB115" s="267"/>
    </row>
    <row r="116" spans="1:29" ht="13.5" customHeight="1">
      <c r="A116" s="496"/>
      <c r="B116" s="995"/>
      <c r="C116" s="275"/>
      <c r="D116" s="861" t="s">
        <v>322</v>
      </c>
      <c r="E116" s="861"/>
      <c r="F116" s="861"/>
      <c r="G116" s="861"/>
      <c r="H116" s="367"/>
      <c r="I116" s="890" t="s">
        <v>321</v>
      </c>
      <c r="J116" s="797"/>
      <c r="K116" s="797"/>
      <c r="L116" s="798"/>
      <c r="M116" s="367"/>
      <c r="N116" s="890" t="s">
        <v>318</v>
      </c>
      <c r="O116" s="797"/>
      <c r="P116" s="797"/>
      <c r="Q116" s="797"/>
      <c r="R116" s="494"/>
      <c r="S116" s="797" t="s">
        <v>320</v>
      </c>
      <c r="T116" s="797"/>
      <c r="U116" s="797"/>
      <c r="V116" s="798"/>
      <c r="W116" s="367"/>
      <c r="X116" s="890" t="s">
        <v>319</v>
      </c>
      <c r="Y116" s="797"/>
      <c r="Z116" s="797"/>
      <c r="AA116" s="798"/>
      <c r="AB116" s="270"/>
    </row>
    <row r="117" spans="1:29" s="295" customFormat="1" ht="13.5" customHeight="1" thickBot="1">
      <c r="A117" s="504"/>
      <c r="B117" s="995"/>
      <c r="C117" s="293"/>
      <c r="D117" s="774" t="s">
        <v>249</v>
      </c>
      <c r="E117" s="775"/>
      <c r="F117" s="800"/>
      <c r="G117" s="801"/>
      <c r="H117" s="313"/>
      <c r="I117" s="774" t="s">
        <v>250</v>
      </c>
      <c r="J117" s="775"/>
      <c r="K117" s="800"/>
      <c r="L117" s="801"/>
      <c r="M117" s="313"/>
      <c r="N117" s="774" t="s">
        <v>251</v>
      </c>
      <c r="O117" s="775"/>
      <c r="P117" s="800"/>
      <c r="Q117" s="800"/>
      <c r="R117" s="495"/>
      <c r="S117" s="775" t="s">
        <v>252</v>
      </c>
      <c r="T117" s="775"/>
      <c r="U117" s="800"/>
      <c r="V117" s="801"/>
      <c r="W117" s="313"/>
      <c r="X117" s="774" t="s">
        <v>253</v>
      </c>
      <c r="Y117" s="775"/>
      <c r="Z117" s="800"/>
      <c r="AA117" s="801"/>
      <c r="AB117" s="296"/>
      <c r="AC117" s="450"/>
    </row>
    <row r="118" spans="1:29" s="200" customFormat="1" ht="16.149999999999999" customHeight="1" thickBot="1">
      <c r="A118" s="505"/>
      <c r="B118" s="995"/>
      <c r="C118" s="275"/>
      <c r="D118" s="860">
        <f>D64*2+D332*1+I332*1</f>
        <v>1.2300000000000002</v>
      </c>
      <c r="E118" s="854"/>
      <c r="F118" s="855">
        <v>0</v>
      </c>
      <c r="G118" s="883"/>
      <c r="H118" s="304"/>
      <c r="I118" s="860">
        <f>I64*1+N64*1+D332*2+I332*2</f>
        <v>2.1300000000000003</v>
      </c>
      <c r="J118" s="854"/>
      <c r="K118" s="855">
        <v>0</v>
      </c>
      <c r="L118" s="883"/>
      <c r="M118" s="304"/>
      <c r="N118" s="860">
        <f>S64*1+I64*2+D332*3+I332*3</f>
        <v>3.08</v>
      </c>
      <c r="O118" s="854"/>
      <c r="P118" s="855">
        <v>0</v>
      </c>
      <c r="Q118" s="883"/>
      <c r="R118" s="304"/>
      <c r="S118" s="860">
        <f>S64*2+D332*2+I332*2</f>
        <v>1.96</v>
      </c>
      <c r="T118" s="854"/>
      <c r="U118" s="855">
        <v>0</v>
      </c>
      <c r="V118" s="883"/>
      <c r="W118" s="304"/>
      <c r="X118" s="860">
        <f>(I64*4)+(D332*4)+(I332*4)</f>
        <v>4.2</v>
      </c>
      <c r="Y118" s="854"/>
      <c r="Z118" s="855">
        <v>0</v>
      </c>
      <c r="AA118" s="883"/>
      <c r="AB118" s="267"/>
      <c r="AC118" s="451"/>
    </row>
    <row r="119" spans="1:29" s="199" customFormat="1" ht="10.15" customHeight="1">
      <c r="A119" s="503"/>
      <c r="B119" s="995"/>
      <c r="C119" s="275"/>
      <c r="D119" s="368"/>
      <c r="E119" s="368"/>
      <c r="F119" s="368"/>
      <c r="G119" s="368"/>
      <c r="H119" s="304"/>
      <c r="I119" s="368"/>
      <c r="J119" s="368"/>
      <c r="K119" s="368"/>
      <c r="L119" s="368"/>
      <c r="M119" s="304"/>
      <c r="N119" s="368"/>
      <c r="O119" s="368"/>
      <c r="P119" s="368"/>
      <c r="Q119" s="368"/>
      <c r="R119" s="304"/>
      <c r="S119" s="368"/>
      <c r="T119" s="368"/>
      <c r="U119" s="368"/>
      <c r="V119" s="368"/>
      <c r="W119" s="304"/>
      <c r="X119" s="368"/>
      <c r="Y119" s="368"/>
      <c r="Z119" s="368"/>
      <c r="AA119" s="368"/>
      <c r="AB119" s="267"/>
      <c r="AC119" s="449"/>
    </row>
    <row r="120" spans="1:29" ht="15">
      <c r="A120" s="496"/>
      <c r="B120" s="995"/>
      <c r="C120" s="300"/>
      <c r="D120" s="743"/>
      <c r="E120" s="743"/>
      <c r="F120" s="743"/>
      <c r="G120" s="743"/>
      <c r="H120" s="366"/>
      <c r="I120" s="743"/>
      <c r="J120" s="743"/>
      <c r="K120" s="743"/>
      <c r="L120" s="743"/>
      <c r="M120" s="366"/>
      <c r="N120" s="762"/>
      <c r="O120" s="762"/>
      <c r="P120" s="762"/>
      <c r="Q120" s="762"/>
      <c r="R120" s="366"/>
      <c r="S120" s="762"/>
      <c r="T120" s="762"/>
      <c r="U120" s="762"/>
      <c r="V120" s="762"/>
      <c r="W120" s="366"/>
      <c r="X120" s="762"/>
      <c r="Y120" s="762"/>
      <c r="Z120" s="762"/>
      <c r="AA120" s="762"/>
      <c r="AB120" s="442"/>
    </row>
    <row r="121" spans="1:29" ht="15">
      <c r="A121" s="496"/>
      <c r="B121" s="995"/>
      <c r="C121" s="300"/>
      <c r="D121" s="743"/>
      <c r="E121" s="743"/>
      <c r="F121" s="743"/>
      <c r="G121" s="743"/>
      <c r="H121" s="366"/>
      <c r="I121" s="743"/>
      <c r="J121" s="743"/>
      <c r="K121" s="743"/>
      <c r="L121" s="743"/>
      <c r="M121" s="366"/>
      <c r="N121" s="805"/>
      <c r="O121" s="994"/>
      <c r="P121" s="994"/>
      <c r="Q121" s="805"/>
      <c r="R121" s="366"/>
      <c r="S121" s="805"/>
      <c r="T121" s="994"/>
      <c r="U121" s="994"/>
      <c r="V121" s="805"/>
      <c r="W121" s="366"/>
      <c r="X121" s="762"/>
      <c r="Y121" s="762"/>
      <c r="Z121" s="762"/>
      <c r="AA121" s="762"/>
      <c r="AB121" s="442"/>
    </row>
    <row r="122" spans="1:29" ht="15">
      <c r="A122" s="496"/>
      <c r="B122" s="995"/>
      <c r="C122" s="300"/>
      <c r="D122" s="743"/>
      <c r="E122" s="743"/>
      <c r="F122" s="743"/>
      <c r="G122" s="743"/>
      <c r="H122" s="366"/>
      <c r="I122" s="743"/>
      <c r="J122" s="743"/>
      <c r="K122" s="743"/>
      <c r="L122" s="743"/>
      <c r="M122" s="366"/>
      <c r="N122" s="805"/>
      <c r="O122" s="994"/>
      <c r="P122" s="994"/>
      <c r="Q122" s="805"/>
      <c r="R122" s="366"/>
      <c r="S122" s="805"/>
      <c r="T122" s="994"/>
      <c r="U122" s="994"/>
      <c r="V122" s="805"/>
      <c r="W122" s="366"/>
      <c r="X122" s="348"/>
      <c r="Y122" s="348"/>
      <c r="Z122" s="348"/>
      <c r="AA122" s="348"/>
      <c r="AB122" s="442"/>
    </row>
    <row r="123" spans="1:29" ht="15">
      <c r="A123" s="496"/>
      <c r="B123" s="995"/>
      <c r="C123" s="300"/>
      <c r="D123" s="330"/>
      <c r="E123" s="330"/>
      <c r="F123" s="330"/>
      <c r="G123" s="330"/>
      <c r="H123" s="366"/>
      <c r="I123" s="330"/>
      <c r="J123" s="330"/>
      <c r="K123" s="330"/>
      <c r="L123" s="330"/>
      <c r="M123" s="366"/>
      <c r="N123" s="805"/>
      <c r="O123" s="994"/>
      <c r="P123" s="994"/>
      <c r="Q123" s="805"/>
      <c r="R123" s="366"/>
      <c r="S123" s="805"/>
      <c r="T123" s="994"/>
      <c r="U123" s="994"/>
      <c r="V123" s="805"/>
      <c r="W123" s="366"/>
      <c r="X123" s="762"/>
      <c r="Y123" s="762"/>
      <c r="Z123" s="762"/>
      <c r="AA123" s="762"/>
      <c r="AB123" s="442"/>
    </row>
    <row r="124" spans="1:29" ht="15">
      <c r="A124" s="496"/>
      <c r="B124" s="995"/>
      <c r="C124" s="300"/>
      <c r="D124" s="743"/>
      <c r="E124" s="743"/>
      <c r="F124" s="743"/>
      <c r="G124" s="743"/>
      <c r="H124" s="366"/>
      <c r="I124" s="743"/>
      <c r="J124" s="743"/>
      <c r="K124" s="743"/>
      <c r="L124" s="743"/>
      <c r="M124" s="366"/>
      <c r="N124" s="805"/>
      <c r="O124" s="994"/>
      <c r="P124" s="994"/>
      <c r="Q124" s="805"/>
      <c r="R124" s="366"/>
      <c r="S124" s="805"/>
      <c r="T124" s="994"/>
      <c r="U124" s="994"/>
      <c r="V124" s="805"/>
      <c r="W124" s="366"/>
      <c r="X124" s="762"/>
      <c r="Y124" s="762"/>
      <c r="Z124" s="762"/>
      <c r="AA124" s="762"/>
      <c r="AB124" s="442"/>
    </row>
    <row r="125" spans="1:29" ht="13.5" customHeight="1">
      <c r="A125" s="496"/>
      <c r="B125" s="995"/>
      <c r="C125" s="300"/>
      <c r="D125" s="743"/>
      <c r="E125" s="743"/>
      <c r="F125" s="743"/>
      <c r="G125" s="743"/>
      <c r="H125" s="366"/>
      <c r="I125" s="743"/>
      <c r="J125" s="743"/>
      <c r="K125" s="743"/>
      <c r="L125" s="743"/>
      <c r="M125" s="366"/>
      <c r="N125" s="805"/>
      <c r="O125" s="805"/>
      <c r="P125" s="805"/>
      <c r="Q125" s="805"/>
      <c r="R125" s="366"/>
      <c r="S125" s="805"/>
      <c r="T125" s="805"/>
      <c r="U125" s="805"/>
      <c r="V125" s="805"/>
      <c r="W125" s="366"/>
      <c r="X125" s="762"/>
      <c r="Y125" s="762"/>
      <c r="Z125" s="762"/>
      <c r="AA125" s="762"/>
      <c r="AB125" s="442"/>
    </row>
    <row r="126" spans="1:29" ht="15">
      <c r="A126" s="496"/>
      <c r="B126" s="995"/>
      <c r="C126" s="275"/>
      <c r="D126" s="887" t="s">
        <v>278</v>
      </c>
      <c r="E126" s="888"/>
      <c r="F126" s="888"/>
      <c r="G126" s="889"/>
      <c r="H126" s="304"/>
      <c r="I126" s="887" t="s">
        <v>279</v>
      </c>
      <c r="J126" s="888"/>
      <c r="K126" s="888"/>
      <c r="L126" s="889"/>
      <c r="M126" s="304"/>
      <c r="N126" s="887" t="s">
        <v>280</v>
      </c>
      <c r="O126" s="888"/>
      <c r="P126" s="888"/>
      <c r="Q126" s="889"/>
      <c r="R126" s="304"/>
      <c r="S126" s="887" t="s">
        <v>281</v>
      </c>
      <c r="T126" s="888"/>
      <c r="U126" s="888"/>
      <c r="V126" s="889"/>
      <c r="W126" s="304"/>
      <c r="X126" s="867" t="s">
        <v>282</v>
      </c>
      <c r="Y126" s="868"/>
      <c r="Z126" s="868"/>
      <c r="AA126" s="869"/>
      <c r="AB126" s="267"/>
    </row>
    <row r="127" spans="1:29" s="295" customFormat="1" ht="13.5" customHeight="1">
      <c r="A127" s="504"/>
      <c r="B127" s="995"/>
      <c r="C127" s="293"/>
      <c r="D127" s="799" t="s">
        <v>457</v>
      </c>
      <c r="E127" s="800"/>
      <c r="F127" s="800"/>
      <c r="G127" s="801"/>
      <c r="H127" s="360"/>
      <c r="I127" s="799" t="s">
        <v>456</v>
      </c>
      <c r="J127" s="800"/>
      <c r="K127" s="800"/>
      <c r="L127" s="801"/>
      <c r="M127" s="360"/>
      <c r="N127" s="799" t="s">
        <v>455</v>
      </c>
      <c r="O127" s="800"/>
      <c r="P127" s="800"/>
      <c r="Q127" s="801"/>
      <c r="R127" s="360"/>
      <c r="S127" s="799" t="s">
        <v>454</v>
      </c>
      <c r="T127" s="800"/>
      <c r="U127" s="800"/>
      <c r="V127" s="801"/>
      <c r="W127" s="360"/>
      <c r="X127" s="862" t="s">
        <v>453</v>
      </c>
      <c r="Y127" s="863"/>
      <c r="Z127" s="863"/>
      <c r="AA127" s="864"/>
      <c r="AB127" s="443"/>
      <c r="AC127" s="450"/>
    </row>
    <row r="128" spans="1:29" s="295" customFormat="1" ht="13.5" customHeight="1" thickBot="1">
      <c r="A128" s="504"/>
      <c r="B128" s="995"/>
      <c r="C128" s="293"/>
      <c r="D128" s="774" t="s">
        <v>260</v>
      </c>
      <c r="E128" s="775"/>
      <c r="F128" s="800"/>
      <c r="G128" s="801"/>
      <c r="H128" s="313"/>
      <c r="I128" s="774" t="s">
        <v>261</v>
      </c>
      <c r="J128" s="775"/>
      <c r="K128" s="800"/>
      <c r="L128" s="801"/>
      <c r="M128" s="313"/>
      <c r="N128" s="774" t="s">
        <v>254</v>
      </c>
      <c r="O128" s="775"/>
      <c r="P128" s="800"/>
      <c r="Q128" s="801"/>
      <c r="R128" s="313"/>
      <c r="S128" s="774" t="s">
        <v>255</v>
      </c>
      <c r="T128" s="775"/>
      <c r="U128" s="800"/>
      <c r="V128" s="801"/>
      <c r="W128" s="313"/>
      <c r="X128" s="774" t="s">
        <v>337</v>
      </c>
      <c r="Y128" s="775"/>
      <c r="Z128" s="800"/>
      <c r="AA128" s="801"/>
      <c r="AB128" s="296"/>
      <c r="AC128" s="450"/>
    </row>
    <row r="129" spans="1:29" s="199" customFormat="1" ht="16.149999999999999" customHeight="1" thickBot="1">
      <c r="A129" s="503"/>
      <c r="B129" s="995"/>
      <c r="C129" s="275"/>
      <c r="D129" s="907">
        <f>X64*2+D74*2+D332*2+I332*2</f>
        <v>2.2600000000000002</v>
      </c>
      <c r="E129" s="993"/>
      <c r="F129" s="991">
        <v>0</v>
      </c>
      <c r="G129" s="992"/>
      <c r="H129" s="304"/>
      <c r="I129" s="860">
        <f>(I74*2)+(D74*2)+(D332*3)+(I332*3)</f>
        <v>3.29</v>
      </c>
      <c r="J129" s="854"/>
      <c r="K129" s="855">
        <v>0</v>
      </c>
      <c r="L129" s="883"/>
      <c r="M129" s="304"/>
      <c r="N129" s="860">
        <f>N74*2+D332*1+I332*1</f>
        <v>1.2300000000000002</v>
      </c>
      <c r="O129" s="854"/>
      <c r="P129" s="855">
        <v>0</v>
      </c>
      <c r="Q129" s="883"/>
      <c r="R129" s="304"/>
      <c r="S129" s="860">
        <f>S74*2+D332*1+I332*1</f>
        <v>1.53</v>
      </c>
      <c r="T129" s="854"/>
      <c r="U129" s="855">
        <v>0</v>
      </c>
      <c r="V129" s="883"/>
      <c r="W129" s="304"/>
      <c r="X129" s="870">
        <f>X74*1+D84*1+D332*1+I332*1</f>
        <v>1.9300000000000002</v>
      </c>
      <c r="Y129" s="871"/>
      <c r="Z129" s="855">
        <v>0</v>
      </c>
      <c r="AA129" s="883"/>
      <c r="AB129" s="267"/>
      <c r="AC129" s="449"/>
    </row>
    <row r="130" spans="1:29" ht="10.15" customHeight="1">
      <c r="A130" s="496"/>
      <c r="B130" s="995"/>
      <c r="C130" s="275"/>
      <c r="D130" s="368"/>
      <c r="E130" s="368"/>
      <c r="F130" s="368"/>
      <c r="G130" s="368"/>
      <c r="H130" s="304"/>
      <c r="I130" s="368"/>
      <c r="J130" s="368"/>
      <c r="K130" s="368"/>
      <c r="L130" s="368"/>
      <c r="M130" s="304"/>
      <c r="N130" s="368"/>
      <c r="O130" s="368"/>
      <c r="P130" s="368"/>
      <c r="Q130" s="368"/>
      <c r="R130" s="304"/>
      <c r="S130" s="368"/>
      <c r="T130" s="368"/>
      <c r="U130" s="368"/>
      <c r="V130" s="368"/>
      <c r="W130" s="304"/>
      <c r="X130" s="368"/>
      <c r="Y130" s="368"/>
      <c r="Z130" s="368"/>
      <c r="AA130" s="368"/>
      <c r="AB130" s="267"/>
    </row>
    <row r="131" spans="1:29" ht="15">
      <c r="A131" s="496"/>
      <c r="B131" s="995"/>
      <c r="C131" s="300"/>
      <c r="D131" s="762"/>
      <c r="E131" s="762"/>
      <c r="F131" s="762"/>
      <c r="G131" s="762"/>
      <c r="H131" s="366"/>
      <c r="I131" s="743"/>
      <c r="J131" s="743"/>
      <c r="K131" s="743"/>
      <c r="L131" s="743"/>
      <c r="M131" s="366"/>
      <c r="N131" s="988"/>
      <c r="O131" s="989"/>
      <c r="P131" s="989"/>
      <c r="Q131" s="989"/>
      <c r="R131" s="366"/>
      <c r="S131" s="743"/>
      <c r="T131" s="743"/>
      <c r="U131" s="743"/>
      <c r="V131" s="743"/>
      <c r="W131" s="366"/>
      <c r="X131" s="743"/>
      <c r="Y131" s="743"/>
      <c r="Z131" s="743"/>
      <c r="AA131" s="743"/>
      <c r="AB131" s="442"/>
    </row>
    <row r="132" spans="1:29" ht="15">
      <c r="A132" s="496"/>
      <c r="B132" s="995"/>
      <c r="C132" s="300"/>
      <c r="D132" s="805"/>
      <c r="E132" s="994"/>
      <c r="F132" s="994"/>
      <c r="G132" s="805"/>
      <c r="H132" s="366"/>
      <c r="I132" s="976"/>
      <c r="J132" s="977"/>
      <c r="K132" s="977"/>
      <c r="L132" s="976"/>
      <c r="M132" s="366"/>
      <c r="N132" s="989"/>
      <c r="O132" s="990"/>
      <c r="P132" s="990"/>
      <c r="Q132" s="989"/>
      <c r="R132" s="366"/>
      <c r="S132" s="743"/>
      <c r="T132" s="743"/>
      <c r="U132" s="743"/>
      <c r="V132" s="743"/>
      <c r="W132" s="366"/>
      <c r="X132" s="976"/>
      <c r="Y132" s="977"/>
      <c r="Z132" s="977"/>
      <c r="AA132" s="976"/>
      <c r="AB132" s="442"/>
    </row>
    <row r="133" spans="1:29" ht="15">
      <c r="A133" s="496"/>
      <c r="B133" s="995"/>
      <c r="C133" s="300"/>
      <c r="D133" s="805"/>
      <c r="E133" s="994"/>
      <c r="F133" s="994"/>
      <c r="G133" s="805"/>
      <c r="H133" s="366"/>
      <c r="I133" s="976"/>
      <c r="J133" s="977"/>
      <c r="K133" s="977"/>
      <c r="L133" s="976"/>
      <c r="M133" s="366"/>
      <c r="N133" s="989"/>
      <c r="O133" s="990"/>
      <c r="P133" s="990"/>
      <c r="Q133" s="989"/>
      <c r="R133" s="366"/>
      <c r="S133" s="743"/>
      <c r="T133" s="743"/>
      <c r="U133" s="743"/>
      <c r="V133" s="743"/>
      <c r="W133" s="366"/>
      <c r="X133" s="976"/>
      <c r="Y133" s="977"/>
      <c r="Z133" s="977"/>
      <c r="AA133" s="976"/>
      <c r="AB133" s="442"/>
    </row>
    <row r="134" spans="1:29" ht="15">
      <c r="A134" s="496"/>
      <c r="B134" s="995"/>
      <c r="C134" s="300"/>
      <c r="D134" s="805"/>
      <c r="E134" s="994"/>
      <c r="F134" s="994"/>
      <c r="G134" s="805"/>
      <c r="H134" s="366"/>
      <c r="I134" s="976"/>
      <c r="J134" s="977"/>
      <c r="K134" s="977"/>
      <c r="L134" s="976"/>
      <c r="M134" s="366"/>
      <c r="N134" s="989"/>
      <c r="O134" s="990"/>
      <c r="P134" s="990"/>
      <c r="Q134" s="989"/>
      <c r="R134" s="366"/>
      <c r="S134" s="743"/>
      <c r="T134" s="743"/>
      <c r="U134" s="743"/>
      <c r="V134" s="743"/>
      <c r="W134" s="366"/>
      <c r="X134" s="976"/>
      <c r="Y134" s="977"/>
      <c r="Z134" s="977"/>
      <c r="AA134" s="976"/>
      <c r="AB134" s="442"/>
    </row>
    <row r="135" spans="1:29" ht="13.5" customHeight="1">
      <c r="A135" s="496"/>
      <c r="B135" s="995"/>
      <c r="C135" s="300"/>
      <c r="D135" s="805"/>
      <c r="E135" s="994"/>
      <c r="F135" s="994"/>
      <c r="G135" s="805"/>
      <c r="H135" s="366"/>
      <c r="I135" s="976"/>
      <c r="J135" s="977"/>
      <c r="K135" s="977"/>
      <c r="L135" s="976"/>
      <c r="M135" s="366"/>
      <c r="N135" s="989"/>
      <c r="O135" s="990"/>
      <c r="P135" s="990"/>
      <c r="Q135" s="989"/>
      <c r="R135" s="366"/>
      <c r="S135" s="743"/>
      <c r="T135" s="743"/>
      <c r="U135" s="743"/>
      <c r="V135" s="743"/>
      <c r="W135" s="366"/>
      <c r="X135" s="976"/>
      <c r="Y135" s="977"/>
      <c r="Z135" s="977"/>
      <c r="AA135" s="976"/>
      <c r="AB135" s="442"/>
    </row>
    <row r="136" spans="1:29" ht="15">
      <c r="A136" s="496"/>
      <c r="B136" s="995"/>
      <c r="C136" s="300"/>
      <c r="D136" s="805"/>
      <c r="E136" s="805"/>
      <c r="F136" s="805"/>
      <c r="G136" s="805"/>
      <c r="H136" s="366"/>
      <c r="I136" s="976"/>
      <c r="J136" s="976"/>
      <c r="K136" s="976"/>
      <c r="L136" s="976"/>
      <c r="M136" s="366"/>
      <c r="N136" s="989"/>
      <c r="O136" s="989"/>
      <c r="P136" s="989"/>
      <c r="Q136" s="989"/>
      <c r="R136" s="366"/>
      <c r="S136" s="743"/>
      <c r="T136" s="743"/>
      <c r="U136" s="743"/>
      <c r="V136" s="743"/>
      <c r="W136" s="366"/>
      <c r="X136" s="976"/>
      <c r="Y136" s="976"/>
      <c r="Z136" s="976"/>
      <c r="AA136" s="976"/>
      <c r="AB136" s="442"/>
    </row>
    <row r="137" spans="1:29" ht="15">
      <c r="A137" s="496"/>
      <c r="B137" s="995"/>
      <c r="C137" s="275"/>
      <c r="D137" s="875" t="s">
        <v>283</v>
      </c>
      <c r="E137" s="876"/>
      <c r="F137" s="876"/>
      <c r="G137" s="877"/>
      <c r="H137" s="304"/>
      <c r="I137" s="867" t="s">
        <v>284</v>
      </c>
      <c r="J137" s="868"/>
      <c r="K137" s="868"/>
      <c r="L137" s="869"/>
      <c r="M137" s="304"/>
      <c r="N137" s="875" t="s">
        <v>285</v>
      </c>
      <c r="O137" s="876"/>
      <c r="P137" s="876"/>
      <c r="Q137" s="984"/>
      <c r="R137" s="366"/>
      <c r="S137" s="983" t="s">
        <v>286</v>
      </c>
      <c r="T137" s="876"/>
      <c r="U137" s="876"/>
      <c r="V137" s="877"/>
      <c r="W137" s="304"/>
      <c r="X137" s="875" t="s">
        <v>287</v>
      </c>
      <c r="Y137" s="876"/>
      <c r="Z137" s="876"/>
      <c r="AA137" s="877"/>
      <c r="AB137" s="267"/>
    </row>
    <row r="138" spans="1:29" ht="15">
      <c r="A138" s="496"/>
      <c r="B138" s="995"/>
      <c r="C138" s="275"/>
      <c r="D138" s="779" t="s">
        <v>458</v>
      </c>
      <c r="E138" s="780"/>
      <c r="F138" s="780"/>
      <c r="G138" s="781"/>
      <c r="H138" s="367"/>
      <c r="I138" s="872" t="s">
        <v>459</v>
      </c>
      <c r="J138" s="873"/>
      <c r="K138" s="873"/>
      <c r="L138" s="874"/>
      <c r="M138" s="367"/>
      <c r="N138" s="985" t="s">
        <v>460</v>
      </c>
      <c r="O138" s="985"/>
      <c r="P138" s="861"/>
      <c r="Q138" s="861"/>
      <c r="R138" s="367"/>
      <c r="S138" s="985" t="s">
        <v>461</v>
      </c>
      <c r="T138" s="985"/>
      <c r="U138" s="861"/>
      <c r="V138" s="861"/>
      <c r="W138" s="367"/>
      <c r="X138" s="872" t="s">
        <v>640</v>
      </c>
      <c r="Y138" s="873"/>
      <c r="Z138" s="873"/>
      <c r="AA138" s="874"/>
      <c r="AB138" s="270"/>
    </row>
    <row r="139" spans="1:29" s="295" customFormat="1" ht="15.75" thickBot="1">
      <c r="A139" s="504"/>
      <c r="B139" s="995"/>
      <c r="C139" s="293"/>
      <c r="D139" s="774" t="s">
        <v>338</v>
      </c>
      <c r="E139" s="775"/>
      <c r="F139" s="800"/>
      <c r="G139" s="801"/>
      <c r="H139" s="313"/>
      <c r="I139" s="774" t="s">
        <v>257</v>
      </c>
      <c r="J139" s="775"/>
      <c r="K139" s="800"/>
      <c r="L139" s="801"/>
      <c r="M139" s="313"/>
      <c r="N139" s="774" t="s">
        <v>258</v>
      </c>
      <c r="O139" s="775"/>
      <c r="P139" s="800"/>
      <c r="Q139" s="801"/>
      <c r="R139" s="313"/>
      <c r="S139" s="774" t="s">
        <v>259</v>
      </c>
      <c r="T139" s="775"/>
      <c r="U139" s="800"/>
      <c r="V139" s="801"/>
      <c r="W139" s="313"/>
      <c r="X139" s="774" t="s">
        <v>256</v>
      </c>
      <c r="Y139" s="775"/>
      <c r="Z139" s="800"/>
      <c r="AA139" s="801"/>
      <c r="AB139" s="296"/>
      <c r="AC139" s="450"/>
    </row>
    <row r="140" spans="1:29" s="199" customFormat="1" ht="16.149999999999999" customHeight="1" thickBot="1">
      <c r="A140" s="503"/>
      <c r="B140" s="995"/>
      <c r="C140" s="275"/>
      <c r="D140" s="860">
        <f>D84*2+D332*1+I332*1</f>
        <v>1.9300000000000002</v>
      </c>
      <c r="E140" s="854"/>
      <c r="F140" s="855">
        <v>0</v>
      </c>
      <c r="G140" s="883"/>
      <c r="H140" s="304"/>
      <c r="I140" s="870">
        <f>(I84*2)+X230+D332+I332</f>
        <v>1.8800000000000001</v>
      </c>
      <c r="J140" s="871"/>
      <c r="K140" s="855">
        <v>0</v>
      </c>
      <c r="L140" s="883"/>
      <c r="M140" s="304"/>
      <c r="N140" s="860">
        <f>N84*2++D332*1+I332*1</f>
        <v>1.51</v>
      </c>
      <c r="O140" s="854"/>
      <c r="P140" s="855">
        <v>0</v>
      </c>
      <c r="Q140" s="883"/>
      <c r="R140" s="304"/>
      <c r="S140" s="860">
        <f>(D74*4)+(S84*2)+(D332*4)+(I332*4)</f>
        <v>4.12</v>
      </c>
      <c r="T140" s="854"/>
      <c r="U140" s="855">
        <v>0</v>
      </c>
      <c r="V140" s="883"/>
      <c r="W140" s="304"/>
      <c r="X140" s="870">
        <f>X84*1+D94*1+N332*1+I332*1</f>
        <v>1.6300000000000001</v>
      </c>
      <c r="Y140" s="871"/>
      <c r="Z140" s="855">
        <v>0</v>
      </c>
      <c r="AA140" s="883"/>
      <c r="AB140" s="267"/>
      <c r="AC140" s="449"/>
    </row>
    <row r="141" spans="1:29" ht="10.15" customHeight="1">
      <c r="A141" s="496"/>
      <c r="B141" s="995"/>
      <c r="C141" s="275"/>
      <c r="D141" s="369"/>
      <c r="E141" s="369"/>
      <c r="F141" s="370"/>
      <c r="G141" s="370"/>
      <c r="H141" s="304"/>
      <c r="I141" s="369"/>
      <c r="J141" s="369"/>
      <c r="K141" s="370"/>
      <c r="L141" s="370"/>
      <c r="M141" s="304"/>
      <c r="N141" s="369"/>
      <c r="O141" s="369"/>
      <c r="P141" s="370"/>
      <c r="Q141" s="370"/>
      <c r="R141" s="304"/>
      <c r="S141" s="344"/>
      <c r="T141" s="344"/>
      <c r="U141" s="365"/>
      <c r="V141" s="365"/>
      <c r="W141" s="304"/>
      <c r="X141" s="344"/>
      <c r="Y141" s="344"/>
      <c r="Z141" s="365"/>
      <c r="AA141" s="365"/>
      <c r="AB141" s="267"/>
    </row>
    <row r="142" spans="1:29" ht="15">
      <c r="A142" s="496"/>
      <c r="B142" s="995"/>
      <c r="C142" s="300"/>
      <c r="D142" s="988"/>
      <c r="E142" s="989"/>
      <c r="F142" s="989"/>
      <c r="G142" s="989"/>
      <c r="H142" s="366"/>
      <c r="I142" s="743"/>
      <c r="J142" s="743"/>
      <c r="K142" s="743"/>
      <c r="L142" s="743"/>
      <c r="M142" s="366"/>
      <c r="N142" s="973"/>
      <c r="O142" s="974"/>
      <c r="P142" s="974"/>
      <c r="Q142" s="974"/>
      <c r="R142" s="356"/>
      <c r="S142" s="764"/>
      <c r="T142" s="764"/>
      <c r="U142" s="764"/>
      <c r="V142" s="764"/>
      <c r="W142" s="304"/>
      <c r="X142" s="764"/>
      <c r="Y142" s="764"/>
      <c r="Z142" s="764"/>
      <c r="AA142" s="764"/>
      <c r="AB142" s="267"/>
    </row>
    <row r="143" spans="1:29" ht="15">
      <c r="A143" s="496"/>
      <c r="B143" s="995"/>
      <c r="C143" s="300"/>
      <c r="D143" s="989"/>
      <c r="E143" s="990"/>
      <c r="F143" s="990"/>
      <c r="G143" s="989"/>
      <c r="H143" s="366"/>
      <c r="I143" s="976"/>
      <c r="J143" s="977"/>
      <c r="K143" s="977"/>
      <c r="L143" s="976"/>
      <c r="M143" s="366"/>
      <c r="N143" s="974"/>
      <c r="O143" s="975"/>
      <c r="P143" s="975"/>
      <c r="Q143" s="974"/>
      <c r="R143" s="356"/>
      <c r="S143" s="764"/>
      <c r="T143" s="764"/>
      <c r="U143" s="764"/>
      <c r="V143" s="764"/>
      <c r="W143" s="304"/>
      <c r="X143" s="764"/>
      <c r="Y143" s="764"/>
      <c r="Z143" s="764"/>
      <c r="AA143" s="764"/>
      <c r="AB143" s="267"/>
    </row>
    <row r="144" spans="1:29" ht="15">
      <c r="A144" s="496"/>
      <c r="B144" s="995"/>
      <c r="C144" s="300"/>
      <c r="D144" s="989"/>
      <c r="E144" s="990"/>
      <c r="F144" s="990"/>
      <c r="G144" s="989"/>
      <c r="H144" s="366"/>
      <c r="I144" s="976"/>
      <c r="J144" s="977"/>
      <c r="K144" s="977"/>
      <c r="L144" s="976"/>
      <c r="M144" s="366"/>
      <c r="N144" s="974"/>
      <c r="O144" s="975"/>
      <c r="P144" s="975"/>
      <c r="Q144" s="974"/>
      <c r="R144" s="356"/>
      <c r="S144" s="764"/>
      <c r="T144" s="764"/>
      <c r="U144" s="764"/>
      <c r="V144" s="764"/>
      <c r="W144" s="304"/>
      <c r="X144" s="764"/>
      <c r="Y144" s="764"/>
      <c r="Z144" s="764"/>
      <c r="AA144" s="764"/>
      <c r="AB144" s="267"/>
    </row>
    <row r="145" spans="1:29" ht="12" customHeight="1">
      <c r="A145" s="496"/>
      <c r="B145" s="995"/>
      <c r="C145" s="300"/>
      <c r="D145" s="989"/>
      <c r="E145" s="990"/>
      <c r="F145" s="990"/>
      <c r="G145" s="989"/>
      <c r="H145" s="366"/>
      <c r="I145" s="976"/>
      <c r="J145" s="977"/>
      <c r="K145" s="977"/>
      <c r="L145" s="976"/>
      <c r="M145" s="366"/>
      <c r="N145" s="974"/>
      <c r="O145" s="975"/>
      <c r="P145" s="975"/>
      <c r="Q145" s="974"/>
      <c r="R145" s="356"/>
      <c r="S145" s="335"/>
      <c r="T145" s="335"/>
      <c r="U145" s="335"/>
      <c r="V145" s="335"/>
      <c r="W145" s="304"/>
      <c r="X145" s="335"/>
      <c r="Y145" s="335"/>
      <c r="Z145" s="335"/>
      <c r="AA145" s="335"/>
      <c r="AB145" s="267"/>
    </row>
    <row r="146" spans="1:29" ht="15">
      <c r="A146" s="496"/>
      <c r="B146" s="995"/>
      <c r="C146" s="300"/>
      <c r="D146" s="989"/>
      <c r="E146" s="990"/>
      <c r="F146" s="990"/>
      <c r="G146" s="989"/>
      <c r="H146" s="366"/>
      <c r="I146" s="976"/>
      <c r="J146" s="977"/>
      <c r="K146" s="977"/>
      <c r="L146" s="976"/>
      <c r="M146" s="366"/>
      <c r="N146" s="974"/>
      <c r="O146" s="975"/>
      <c r="P146" s="975"/>
      <c r="Q146" s="974"/>
      <c r="R146" s="356"/>
      <c r="S146" s="764"/>
      <c r="T146" s="764"/>
      <c r="U146" s="764"/>
      <c r="V146" s="764"/>
      <c r="W146" s="304"/>
      <c r="X146" s="764"/>
      <c r="Y146" s="764"/>
      <c r="Z146" s="764"/>
      <c r="AA146" s="764"/>
      <c r="AB146" s="267"/>
    </row>
    <row r="147" spans="1:29" ht="15">
      <c r="A147" s="496"/>
      <c r="B147" s="995"/>
      <c r="C147" s="300"/>
      <c r="D147" s="989"/>
      <c r="E147" s="989"/>
      <c r="F147" s="989"/>
      <c r="G147" s="989"/>
      <c r="H147" s="366"/>
      <c r="I147" s="976"/>
      <c r="J147" s="976"/>
      <c r="K147" s="976"/>
      <c r="L147" s="976"/>
      <c r="M147" s="366"/>
      <c r="N147" s="974"/>
      <c r="O147" s="974"/>
      <c r="P147" s="974"/>
      <c r="Q147" s="974"/>
      <c r="R147" s="356"/>
      <c r="S147" s="764"/>
      <c r="T147" s="764"/>
      <c r="U147" s="764"/>
      <c r="V147" s="764"/>
      <c r="W147" s="304"/>
      <c r="X147" s="764"/>
      <c r="Y147" s="764"/>
      <c r="Z147" s="764"/>
      <c r="AA147" s="764"/>
      <c r="AB147" s="267"/>
    </row>
    <row r="148" spans="1:29" ht="15">
      <c r="A148" s="496"/>
      <c r="B148" s="995"/>
      <c r="C148" s="275"/>
      <c r="D148" s="875" t="s">
        <v>288</v>
      </c>
      <c r="E148" s="876"/>
      <c r="F148" s="876"/>
      <c r="G148" s="877"/>
      <c r="H148" s="304"/>
      <c r="I148" s="875" t="s">
        <v>289</v>
      </c>
      <c r="J148" s="876"/>
      <c r="K148" s="876"/>
      <c r="L148" s="877"/>
      <c r="M148" s="304"/>
      <c r="N148" s="867" t="s">
        <v>330</v>
      </c>
      <c r="O148" s="868"/>
      <c r="P148" s="868"/>
      <c r="Q148" s="869"/>
      <c r="R148" s="304"/>
      <c r="S148" s="765"/>
      <c r="T148" s="765"/>
      <c r="U148" s="765"/>
      <c r="V148" s="765"/>
      <c r="W148" s="304"/>
      <c r="X148" s="765"/>
      <c r="Y148" s="765"/>
      <c r="Z148" s="765"/>
      <c r="AA148" s="765"/>
      <c r="AB148" s="267"/>
    </row>
    <row r="149" spans="1:29" s="295" customFormat="1" ht="13.5" customHeight="1">
      <c r="A149" s="504"/>
      <c r="B149" s="995"/>
      <c r="C149" s="293"/>
      <c r="D149" s="816" t="s">
        <v>462</v>
      </c>
      <c r="E149" s="816"/>
      <c r="F149" s="817"/>
      <c r="G149" s="817"/>
      <c r="H149" s="360"/>
      <c r="I149" s="816" t="s">
        <v>639</v>
      </c>
      <c r="J149" s="816"/>
      <c r="K149" s="817"/>
      <c r="L149" s="817"/>
      <c r="M149" s="360"/>
      <c r="N149" s="862" t="s">
        <v>463</v>
      </c>
      <c r="O149" s="863"/>
      <c r="P149" s="863"/>
      <c r="Q149" s="864"/>
      <c r="R149" s="360"/>
      <c r="S149" s="978"/>
      <c r="T149" s="978"/>
      <c r="U149" s="978"/>
      <c r="V149" s="978"/>
      <c r="W149" s="360"/>
      <c r="X149" s="978"/>
      <c r="Y149" s="978"/>
      <c r="Z149" s="978"/>
      <c r="AA149" s="978"/>
      <c r="AB149" s="443"/>
      <c r="AC149" s="450"/>
    </row>
    <row r="150" spans="1:29" s="295" customFormat="1" ht="13.5" customHeight="1" thickBot="1">
      <c r="A150" s="504"/>
      <c r="B150" s="995"/>
      <c r="C150" s="293"/>
      <c r="D150" s="774" t="s">
        <v>339</v>
      </c>
      <c r="E150" s="775"/>
      <c r="F150" s="800"/>
      <c r="G150" s="801"/>
      <c r="H150" s="313"/>
      <c r="I150" s="774" t="s">
        <v>262</v>
      </c>
      <c r="J150" s="775"/>
      <c r="K150" s="800"/>
      <c r="L150" s="801"/>
      <c r="M150" s="313"/>
      <c r="N150" s="774" t="s">
        <v>340</v>
      </c>
      <c r="O150" s="775"/>
      <c r="P150" s="800"/>
      <c r="Q150" s="801"/>
      <c r="R150" s="313"/>
      <c r="S150" s="978"/>
      <c r="T150" s="978"/>
      <c r="U150" s="978"/>
      <c r="V150" s="978"/>
      <c r="W150" s="313"/>
      <c r="X150" s="978"/>
      <c r="Y150" s="978"/>
      <c r="Z150" s="978"/>
      <c r="AA150" s="978"/>
      <c r="AB150" s="296"/>
      <c r="AC150" s="450"/>
    </row>
    <row r="151" spans="1:29" s="199" customFormat="1" ht="16.149999999999999" customHeight="1" thickBot="1">
      <c r="A151" s="503"/>
      <c r="B151" s="995"/>
      <c r="C151" s="275"/>
      <c r="D151" s="860">
        <f>I94*1+N94*1+D332*1+I332*1</f>
        <v>1.53</v>
      </c>
      <c r="E151" s="854"/>
      <c r="F151" s="855">
        <v>0</v>
      </c>
      <c r="G151" s="883"/>
      <c r="H151" s="304"/>
      <c r="I151" s="860">
        <f>(S94*2)+(X230*2)+D332+I332</f>
        <v>2.23</v>
      </c>
      <c r="J151" s="854"/>
      <c r="K151" s="855">
        <v>0</v>
      </c>
      <c r="L151" s="883"/>
      <c r="M151" s="304"/>
      <c r="N151" s="870">
        <f>(X94*2)+(D332*2)+(I332*2)</f>
        <v>1.8600000000000003</v>
      </c>
      <c r="O151" s="871"/>
      <c r="P151" s="855">
        <v>0</v>
      </c>
      <c r="Q151" s="883"/>
      <c r="R151" s="304"/>
      <c r="S151" s="822"/>
      <c r="T151" s="822"/>
      <c r="U151" s="754"/>
      <c r="V151" s="754"/>
      <c r="W151" s="304"/>
      <c r="X151" s="822"/>
      <c r="Y151" s="822"/>
      <c r="Z151" s="754"/>
      <c r="AA151" s="754"/>
      <c r="AB151" s="267"/>
      <c r="AC151" s="449"/>
    </row>
    <row r="152" spans="1:29" ht="27" customHeight="1" thickBot="1">
      <c r="A152" s="496"/>
      <c r="B152" s="462"/>
      <c r="C152" s="275"/>
      <c r="D152" s="314"/>
      <c r="E152" s="314"/>
      <c r="F152" s="315"/>
      <c r="G152" s="315"/>
      <c r="H152" s="316"/>
      <c r="I152" s="314"/>
      <c r="J152" s="314"/>
      <c r="K152" s="315"/>
      <c r="L152" s="315"/>
      <c r="M152" s="316"/>
      <c r="N152" s="314"/>
      <c r="O152" s="314"/>
      <c r="P152" s="315"/>
      <c r="Q152" s="315"/>
      <c r="R152" s="316"/>
      <c r="S152" s="314"/>
      <c r="T152" s="314"/>
      <c r="U152" s="315"/>
      <c r="V152" s="315"/>
      <c r="W152" s="316"/>
      <c r="X152" s="314"/>
      <c r="Y152" s="314"/>
      <c r="Z152" s="315"/>
      <c r="AA152" s="315"/>
      <c r="AB152" s="265"/>
    </row>
    <row r="153" spans="1:29" s="190" customFormat="1" ht="27" customHeight="1" thickTop="1">
      <c r="A153" s="497"/>
      <c r="B153" s="280"/>
      <c r="C153" s="280"/>
      <c r="D153" s="729" t="s">
        <v>572</v>
      </c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  <c r="Z153" s="729"/>
      <c r="AA153" s="729"/>
      <c r="AB153" s="280"/>
      <c r="AC153" s="445"/>
    </row>
    <row r="154" spans="1:29" s="190" customFormat="1" ht="27" customHeight="1">
      <c r="A154" s="497"/>
      <c r="B154" s="265"/>
      <c r="C154" s="265"/>
      <c r="D154" s="344"/>
      <c r="E154" s="344"/>
      <c r="F154" s="365"/>
      <c r="G154" s="365"/>
      <c r="H154" s="304"/>
      <c r="I154" s="344"/>
      <c r="J154" s="344"/>
      <c r="K154" s="365"/>
      <c r="L154" s="365"/>
      <c r="M154" s="304"/>
      <c r="N154" s="344"/>
      <c r="O154" s="344"/>
      <c r="P154" s="365"/>
      <c r="Q154" s="365"/>
      <c r="R154" s="304"/>
      <c r="S154" s="344"/>
      <c r="T154" s="344"/>
      <c r="U154" s="365"/>
      <c r="V154" s="365"/>
      <c r="W154" s="304"/>
      <c r="X154" s="344"/>
      <c r="Y154" s="344"/>
      <c r="Z154" s="365"/>
      <c r="AA154" s="365"/>
      <c r="AB154" s="265"/>
      <c r="AC154" s="445"/>
    </row>
    <row r="155" spans="1:29" ht="14.25">
      <c r="A155" s="496"/>
      <c r="B155" s="265"/>
      <c r="C155" s="265"/>
      <c r="D155" s="739"/>
      <c r="E155" s="740"/>
      <c r="F155" s="740"/>
      <c r="G155" s="741"/>
      <c r="H155" s="304"/>
      <c r="I155" s="739"/>
      <c r="J155" s="740"/>
      <c r="K155" s="740"/>
      <c r="L155" s="741"/>
      <c r="M155" s="304"/>
      <c r="N155" s="739"/>
      <c r="O155" s="740"/>
      <c r="P155" s="740"/>
      <c r="Q155" s="741"/>
      <c r="R155" s="304"/>
      <c r="S155" s="739"/>
      <c r="T155" s="740"/>
      <c r="U155" s="740"/>
      <c r="V155" s="741"/>
      <c r="W155" s="304"/>
      <c r="X155" s="739"/>
      <c r="Y155" s="740"/>
      <c r="Z155" s="740"/>
      <c r="AA155" s="741"/>
      <c r="AB155" s="265"/>
    </row>
    <row r="156" spans="1:29" ht="12" customHeight="1">
      <c r="A156" s="496"/>
      <c r="B156" s="265"/>
      <c r="C156" s="265"/>
      <c r="D156" s="742"/>
      <c r="E156" s="743"/>
      <c r="F156" s="743"/>
      <c r="G156" s="744"/>
      <c r="H156" s="304"/>
      <c r="I156" s="742"/>
      <c r="J156" s="743"/>
      <c r="K156" s="743"/>
      <c r="L156" s="744"/>
      <c r="M156" s="304"/>
      <c r="N156" s="742"/>
      <c r="O156" s="743"/>
      <c r="P156" s="743"/>
      <c r="Q156" s="744"/>
      <c r="R156" s="304"/>
      <c r="S156" s="742"/>
      <c r="T156" s="743"/>
      <c r="U156" s="743"/>
      <c r="V156" s="744"/>
      <c r="W156" s="304"/>
      <c r="X156" s="742"/>
      <c r="Y156" s="743"/>
      <c r="Z156" s="743"/>
      <c r="AA156" s="744"/>
      <c r="AB156" s="265"/>
    </row>
    <row r="157" spans="1:29" ht="13.5" customHeight="1">
      <c r="A157" s="496"/>
      <c r="B157" s="265"/>
      <c r="C157" s="265"/>
      <c r="D157" s="329"/>
      <c r="E157" s="330"/>
      <c r="F157" s="330"/>
      <c r="G157" s="331"/>
      <c r="H157" s="304"/>
      <c r="I157" s="329"/>
      <c r="J157" s="330"/>
      <c r="K157" s="330"/>
      <c r="L157" s="331"/>
      <c r="M157" s="304"/>
      <c r="N157" s="329"/>
      <c r="O157" s="330"/>
      <c r="P157" s="330"/>
      <c r="Q157" s="331"/>
      <c r="R157" s="304"/>
      <c r="S157" s="329"/>
      <c r="T157" s="330"/>
      <c r="U157" s="330"/>
      <c r="V157" s="331"/>
      <c r="W157" s="304"/>
      <c r="X157" s="329"/>
      <c r="Y157" s="330"/>
      <c r="Z157" s="330"/>
      <c r="AA157" s="331"/>
      <c r="AB157" s="265"/>
    </row>
    <row r="158" spans="1:29" ht="13.5" customHeight="1">
      <c r="A158" s="496"/>
      <c r="B158" s="265"/>
      <c r="C158" s="265"/>
      <c r="D158" s="742"/>
      <c r="E158" s="743"/>
      <c r="F158" s="743"/>
      <c r="G158" s="744"/>
      <c r="H158" s="304"/>
      <c r="I158" s="742"/>
      <c r="J158" s="743"/>
      <c r="K158" s="743"/>
      <c r="L158" s="744"/>
      <c r="M158" s="304"/>
      <c r="N158" s="742"/>
      <c r="O158" s="743"/>
      <c r="P158" s="743"/>
      <c r="Q158" s="744"/>
      <c r="R158" s="304"/>
      <c r="S158" s="742"/>
      <c r="T158" s="743"/>
      <c r="U158" s="743"/>
      <c r="V158" s="744"/>
      <c r="W158" s="304"/>
      <c r="X158" s="742"/>
      <c r="Y158" s="743"/>
      <c r="Z158" s="743"/>
      <c r="AA158" s="744"/>
      <c r="AB158" s="265"/>
    </row>
    <row r="159" spans="1:29" ht="13.5" customHeight="1">
      <c r="A159" s="496"/>
      <c r="B159" s="265"/>
      <c r="C159" s="265"/>
      <c r="D159" s="742"/>
      <c r="E159" s="743"/>
      <c r="F159" s="743"/>
      <c r="G159" s="744"/>
      <c r="H159" s="304"/>
      <c r="I159" s="742"/>
      <c r="J159" s="743"/>
      <c r="K159" s="743"/>
      <c r="L159" s="744"/>
      <c r="M159" s="304"/>
      <c r="N159" s="742"/>
      <c r="O159" s="743"/>
      <c r="P159" s="743"/>
      <c r="Q159" s="744"/>
      <c r="R159" s="304"/>
      <c r="S159" s="742"/>
      <c r="T159" s="743"/>
      <c r="U159" s="743"/>
      <c r="V159" s="744"/>
      <c r="W159" s="304"/>
      <c r="X159" s="742"/>
      <c r="Y159" s="743"/>
      <c r="Z159" s="743"/>
      <c r="AA159" s="744"/>
      <c r="AB159" s="265"/>
    </row>
    <row r="160" spans="1:29" ht="13.5" customHeight="1">
      <c r="A160" s="496"/>
      <c r="B160" s="265"/>
      <c r="C160" s="265"/>
      <c r="D160" s="742"/>
      <c r="E160" s="743"/>
      <c r="F160" s="743"/>
      <c r="G160" s="744"/>
      <c r="H160" s="304"/>
      <c r="I160" s="742"/>
      <c r="J160" s="743"/>
      <c r="K160" s="743"/>
      <c r="L160" s="744"/>
      <c r="M160" s="304"/>
      <c r="N160" s="742"/>
      <c r="O160" s="743"/>
      <c r="P160" s="743"/>
      <c r="Q160" s="744"/>
      <c r="R160" s="304"/>
      <c r="S160" s="742"/>
      <c r="T160" s="743"/>
      <c r="U160" s="743"/>
      <c r="V160" s="744"/>
      <c r="W160" s="304"/>
      <c r="X160" s="742"/>
      <c r="Y160" s="743"/>
      <c r="Z160" s="743"/>
      <c r="AA160" s="744"/>
      <c r="AB160" s="265"/>
    </row>
    <row r="161" spans="1:29" ht="13.5" customHeight="1">
      <c r="A161" s="496"/>
      <c r="B161" s="265"/>
      <c r="C161" s="265"/>
      <c r="D161" s="771" t="s">
        <v>342</v>
      </c>
      <c r="E161" s="772"/>
      <c r="F161" s="772"/>
      <c r="G161" s="773"/>
      <c r="H161" s="304"/>
      <c r="I161" s="771" t="s">
        <v>343</v>
      </c>
      <c r="J161" s="772"/>
      <c r="K161" s="772"/>
      <c r="L161" s="773"/>
      <c r="M161" s="304"/>
      <c r="N161" s="771" t="s">
        <v>344</v>
      </c>
      <c r="O161" s="772"/>
      <c r="P161" s="772"/>
      <c r="Q161" s="773"/>
      <c r="R161" s="304"/>
      <c r="S161" s="771" t="s">
        <v>345</v>
      </c>
      <c r="T161" s="772"/>
      <c r="U161" s="772"/>
      <c r="V161" s="773"/>
      <c r="W161" s="304"/>
      <c r="X161" s="771" t="s">
        <v>346</v>
      </c>
      <c r="Y161" s="772"/>
      <c r="Z161" s="772"/>
      <c r="AA161" s="773"/>
      <c r="AB161" s="265"/>
    </row>
    <row r="162" spans="1:29" ht="16.149999999999999" customHeight="1">
      <c r="A162" s="496"/>
      <c r="B162" s="267"/>
      <c r="C162" s="267"/>
      <c r="D162" s="777">
        <v>0.66</v>
      </c>
      <c r="E162" s="778"/>
      <c r="F162" s="769">
        <v>0</v>
      </c>
      <c r="G162" s="770"/>
      <c r="H162" s="304"/>
      <c r="I162" s="777">
        <v>1.08</v>
      </c>
      <c r="J162" s="778"/>
      <c r="K162" s="769">
        <v>0</v>
      </c>
      <c r="L162" s="770"/>
      <c r="M162" s="304"/>
      <c r="N162" s="777">
        <v>1.1399999999999999</v>
      </c>
      <c r="O162" s="778"/>
      <c r="P162" s="769">
        <v>0</v>
      </c>
      <c r="Q162" s="770"/>
      <c r="R162" s="304"/>
      <c r="S162" s="777">
        <v>1.02</v>
      </c>
      <c r="T162" s="778"/>
      <c r="U162" s="769">
        <v>0</v>
      </c>
      <c r="V162" s="770"/>
      <c r="W162" s="304"/>
      <c r="X162" s="777">
        <v>0.66</v>
      </c>
      <c r="Y162" s="778"/>
      <c r="Z162" s="769">
        <v>0</v>
      </c>
      <c r="AA162" s="770"/>
      <c r="AB162" s="267"/>
    </row>
    <row r="163" spans="1:29" s="528" customFormat="1" ht="16.149999999999999" customHeight="1">
      <c r="A163" s="524"/>
      <c r="B163" s="629"/>
      <c r="C163" s="629"/>
      <c r="D163" s="612">
        <f>D162*G163</f>
        <v>148.5</v>
      </c>
      <c r="E163" s="632"/>
      <c r="F163" s="633" t="s">
        <v>333</v>
      </c>
      <c r="G163" s="634">
        <v>225</v>
      </c>
      <c r="H163" s="611"/>
      <c r="I163" s="612">
        <f>I162*L163</f>
        <v>162</v>
      </c>
      <c r="J163" s="632"/>
      <c r="K163" s="633" t="s">
        <v>333</v>
      </c>
      <c r="L163" s="634">
        <v>150</v>
      </c>
      <c r="M163" s="611"/>
      <c r="N163" s="612">
        <f>N162*Q163</f>
        <v>68.399999999999991</v>
      </c>
      <c r="O163" s="632"/>
      <c r="P163" s="633" t="s">
        <v>333</v>
      </c>
      <c r="Q163" s="634">
        <v>60</v>
      </c>
      <c r="R163" s="611"/>
      <c r="S163" s="612">
        <f>S162*V163</f>
        <v>153</v>
      </c>
      <c r="T163" s="632"/>
      <c r="U163" s="633" t="s">
        <v>333</v>
      </c>
      <c r="V163" s="634">
        <v>150</v>
      </c>
      <c r="W163" s="611"/>
      <c r="X163" s="612">
        <f>X162*AA163</f>
        <v>148.5</v>
      </c>
      <c r="Y163" s="632"/>
      <c r="Z163" s="633" t="s">
        <v>333</v>
      </c>
      <c r="AA163" s="634">
        <v>225</v>
      </c>
      <c r="AB163" s="629"/>
      <c r="AC163" s="527"/>
    </row>
    <row r="164" spans="1:29" s="193" customFormat="1" ht="10.15" customHeight="1">
      <c r="A164" s="499"/>
      <c r="B164" s="266"/>
      <c r="C164" s="266"/>
      <c r="D164" s="332"/>
      <c r="E164" s="332"/>
      <c r="F164" s="338"/>
      <c r="G164" s="334"/>
      <c r="H164" s="304"/>
      <c r="I164" s="332"/>
      <c r="J164" s="332"/>
      <c r="K164" s="338"/>
      <c r="L164" s="334"/>
      <c r="M164" s="304"/>
      <c r="N164" s="332"/>
      <c r="O164" s="332"/>
      <c r="P164" s="338"/>
      <c r="Q164" s="334"/>
      <c r="R164" s="304"/>
      <c r="S164" s="332"/>
      <c r="T164" s="332"/>
      <c r="U164" s="338"/>
      <c r="V164" s="334"/>
      <c r="W164" s="304"/>
      <c r="X164" s="332"/>
      <c r="Y164" s="332"/>
      <c r="Z164" s="338"/>
      <c r="AA164" s="334"/>
      <c r="AB164" s="266"/>
      <c r="AC164" s="423"/>
    </row>
    <row r="165" spans="1:29" s="197" customFormat="1" ht="14.65" customHeight="1">
      <c r="A165" s="501"/>
      <c r="B165" s="265"/>
      <c r="C165" s="265"/>
      <c r="D165" s="766"/>
      <c r="E165" s="767"/>
      <c r="F165" s="767"/>
      <c r="G165" s="768"/>
      <c r="H165" s="304"/>
      <c r="I165" s="766"/>
      <c r="J165" s="767"/>
      <c r="K165" s="767"/>
      <c r="L165" s="768"/>
      <c r="M165" s="304"/>
      <c r="N165" s="766"/>
      <c r="O165" s="767"/>
      <c r="P165" s="767"/>
      <c r="Q165" s="768"/>
      <c r="R165" s="304"/>
      <c r="S165" s="766"/>
      <c r="T165" s="767"/>
      <c r="U165" s="767"/>
      <c r="V165" s="768"/>
      <c r="W165" s="304"/>
      <c r="X165" s="766"/>
      <c r="Y165" s="767"/>
      <c r="Z165" s="767"/>
      <c r="AA165" s="768"/>
      <c r="AB165" s="265"/>
      <c r="AC165" s="447"/>
    </row>
    <row r="166" spans="1:29" ht="13.5" customHeight="1">
      <c r="A166" s="496"/>
      <c r="B166" s="265"/>
      <c r="C166" s="265"/>
      <c r="D166" s="761"/>
      <c r="E166" s="762"/>
      <c r="F166" s="762"/>
      <c r="G166" s="763"/>
      <c r="H166" s="304"/>
      <c r="I166" s="761"/>
      <c r="J166" s="762"/>
      <c r="K166" s="762"/>
      <c r="L166" s="763"/>
      <c r="M166" s="304"/>
      <c r="N166" s="761"/>
      <c r="O166" s="762"/>
      <c r="P166" s="762"/>
      <c r="Q166" s="763"/>
      <c r="R166" s="304"/>
      <c r="S166" s="761"/>
      <c r="T166" s="762"/>
      <c r="U166" s="762"/>
      <c r="V166" s="763"/>
      <c r="W166" s="304"/>
      <c r="X166" s="804"/>
      <c r="Y166" s="805"/>
      <c r="Z166" s="805"/>
      <c r="AA166" s="806"/>
      <c r="AB166" s="265"/>
    </row>
    <row r="167" spans="1:29" s="188" customFormat="1" ht="13.5" customHeight="1">
      <c r="A167" s="265"/>
      <c r="B167" s="265"/>
      <c r="C167" s="265"/>
      <c r="D167" s="347"/>
      <c r="E167" s="348"/>
      <c r="F167" s="348"/>
      <c r="G167" s="349"/>
      <c r="H167" s="304"/>
      <c r="I167" s="347"/>
      <c r="J167" s="348"/>
      <c r="K167" s="348"/>
      <c r="L167" s="349"/>
      <c r="M167" s="304"/>
      <c r="N167" s="347"/>
      <c r="O167" s="348"/>
      <c r="P167" s="348"/>
      <c r="Q167" s="349"/>
      <c r="R167" s="304"/>
      <c r="S167" s="347"/>
      <c r="T167" s="348"/>
      <c r="U167" s="348"/>
      <c r="V167" s="349"/>
      <c r="W167" s="304"/>
      <c r="X167" s="804"/>
      <c r="Y167" s="805"/>
      <c r="Z167" s="805"/>
      <c r="AA167" s="806"/>
      <c r="AB167" s="265"/>
      <c r="AC167" s="206"/>
    </row>
    <row r="168" spans="1:29" ht="14.25">
      <c r="A168" s="496"/>
      <c r="B168" s="265"/>
      <c r="C168" s="265"/>
      <c r="D168" s="761"/>
      <c r="E168" s="762"/>
      <c r="F168" s="762"/>
      <c r="G168" s="763"/>
      <c r="H168" s="304"/>
      <c r="I168" s="761"/>
      <c r="J168" s="762"/>
      <c r="K168" s="762"/>
      <c r="L168" s="763"/>
      <c r="M168" s="304"/>
      <c r="N168" s="761"/>
      <c r="O168" s="762"/>
      <c r="P168" s="762"/>
      <c r="Q168" s="763"/>
      <c r="R168" s="304"/>
      <c r="S168" s="761"/>
      <c r="T168" s="762"/>
      <c r="U168" s="762"/>
      <c r="V168" s="763"/>
      <c r="W168" s="304"/>
      <c r="X168" s="804"/>
      <c r="Y168" s="805"/>
      <c r="Z168" s="805"/>
      <c r="AA168" s="806"/>
      <c r="AB168" s="265"/>
    </row>
    <row r="169" spans="1:29" ht="14.25">
      <c r="A169" s="496"/>
      <c r="B169" s="265"/>
      <c r="C169" s="265"/>
      <c r="D169" s="761"/>
      <c r="E169" s="762"/>
      <c r="F169" s="762"/>
      <c r="G169" s="763"/>
      <c r="H169" s="304"/>
      <c r="I169" s="761"/>
      <c r="J169" s="762"/>
      <c r="K169" s="762"/>
      <c r="L169" s="763"/>
      <c r="M169" s="304"/>
      <c r="N169" s="761"/>
      <c r="O169" s="762"/>
      <c r="P169" s="762"/>
      <c r="Q169" s="763"/>
      <c r="R169" s="304"/>
      <c r="S169" s="761"/>
      <c r="T169" s="762"/>
      <c r="U169" s="762"/>
      <c r="V169" s="763"/>
      <c r="W169" s="304"/>
      <c r="X169" s="804"/>
      <c r="Y169" s="805"/>
      <c r="Z169" s="805"/>
      <c r="AA169" s="806"/>
      <c r="AB169" s="265"/>
    </row>
    <row r="170" spans="1:29" ht="14.25">
      <c r="A170" s="496"/>
      <c r="B170" s="265"/>
      <c r="C170" s="265"/>
      <c r="D170" s="761"/>
      <c r="E170" s="762"/>
      <c r="F170" s="762"/>
      <c r="G170" s="763"/>
      <c r="H170" s="304"/>
      <c r="I170" s="761"/>
      <c r="J170" s="762"/>
      <c r="K170" s="762"/>
      <c r="L170" s="763"/>
      <c r="M170" s="304"/>
      <c r="N170" s="761"/>
      <c r="O170" s="762"/>
      <c r="P170" s="762"/>
      <c r="Q170" s="763"/>
      <c r="R170" s="304"/>
      <c r="S170" s="761"/>
      <c r="T170" s="762"/>
      <c r="U170" s="762"/>
      <c r="V170" s="763"/>
      <c r="W170" s="304"/>
      <c r="X170" s="804"/>
      <c r="Y170" s="805"/>
      <c r="Z170" s="805"/>
      <c r="AA170" s="806"/>
      <c r="AB170" s="265"/>
    </row>
    <row r="171" spans="1:29" ht="15">
      <c r="A171" s="496"/>
      <c r="B171" s="265"/>
      <c r="C171" s="265"/>
      <c r="D171" s="771" t="s">
        <v>347</v>
      </c>
      <c r="E171" s="772"/>
      <c r="F171" s="772"/>
      <c r="G171" s="773"/>
      <c r="H171" s="304"/>
      <c r="I171" s="771" t="s">
        <v>348</v>
      </c>
      <c r="J171" s="772"/>
      <c r="K171" s="772"/>
      <c r="L171" s="773"/>
      <c r="M171" s="304"/>
      <c r="N171" s="812" t="s">
        <v>530</v>
      </c>
      <c r="O171" s="813"/>
      <c r="P171" s="813"/>
      <c r="Q171" s="814"/>
      <c r="R171" s="304"/>
      <c r="S171" s="812" t="s">
        <v>349</v>
      </c>
      <c r="T171" s="813"/>
      <c r="U171" s="813"/>
      <c r="V171" s="814"/>
      <c r="W171" s="304"/>
      <c r="X171" s="812" t="s">
        <v>531</v>
      </c>
      <c r="Y171" s="813"/>
      <c r="Z171" s="813"/>
      <c r="AA171" s="814"/>
      <c r="AB171" s="265"/>
    </row>
    <row r="172" spans="1:29" ht="16.149999999999999" customHeight="1">
      <c r="A172" s="496"/>
      <c r="B172" s="265"/>
      <c r="C172" s="265"/>
      <c r="D172" s="777">
        <v>0.66</v>
      </c>
      <c r="E172" s="778"/>
      <c r="F172" s="769">
        <v>0</v>
      </c>
      <c r="G172" s="770"/>
      <c r="H172" s="304"/>
      <c r="I172" s="777">
        <v>0.66</v>
      </c>
      <c r="J172" s="778"/>
      <c r="K172" s="769">
        <v>0</v>
      </c>
      <c r="L172" s="770"/>
      <c r="M172" s="304"/>
      <c r="N172" s="777">
        <v>0.9</v>
      </c>
      <c r="O172" s="778"/>
      <c r="P172" s="769">
        <v>0</v>
      </c>
      <c r="Q172" s="770"/>
      <c r="R172" s="304"/>
      <c r="S172" s="777">
        <v>0.83</v>
      </c>
      <c r="T172" s="778"/>
      <c r="U172" s="769">
        <v>0</v>
      </c>
      <c r="V172" s="770"/>
      <c r="W172" s="304"/>
      <c r="X172" s="777">
        <v>0.9</v>
      </c>
      <c r="Y172" s="778"/>
      <c r="Z172" s="769">
        <v>0</v>
      </c>
      <c r="AA172" s="770"/>
      <c r="AB172" s="265"/>
    </row>
    <row r="173" spans="1:29" s="528" customFormat="1" ht="16.149999999999999" customHeight="1">
      <c r="A173" s="524"/>
      <c r="B173" s="629"/>
      <c r="C173" s="629"/>
      <c r="D173" s="612">
        <f>D172*G173</f>
        <v>148.5</v>
      </c>
      <c r="E173" s="632"/>
      <c r="F173" s="633" t="s">
        <v>333</v>
      </c>
      <c r="G173" s="634">
        <v>225</v>
      </c>
      <c r="H173" s="611"/>
      <c r="I173" s="612">
        <f>I172*L173</f>
        <v>99</v>
      </c>
      <c r="J173" s="632"/>
      <c r="K173" s="633" t="s">
        <v>333</v>
      </c>
      <c r="L173" s="634">
        <v>150</v>
      </c>
      <c r="M173" s="611"/>
      <c r="N173" s="612">
        <f>N172*Q173</f>
        <v>162</v>
      </c>
      <c r="O173" s="632"/>
      <c r="P173" s="633" t="s">
        <v>333</v>
      </c>
      <c r="Q173" s="634">
        <v>180</v>
      </c>
      <c r="R173" s="611"/>
      <c r="S173" s="612">
        <f>S172*V173</f>
        <v>186.75</v>
      </c>
      <c r="T173" s="632"/>
      <c r="U173" s="633" t="s">
        <v>333</v>
      </c>
      <c r="V173" s="634">
        <v>225</v>
      </c>
      <c r="W173" s="611"/>
      <c r="X173" s="648">
        <f>X172*AA173</f>
        <v>270</v>
      </c>
      <c r="Y173" s="649"/>
      <c r="Z173" s="650" t="s">
        <v>333</v>
      </c>
      <c r="AA173" s="651">
        <v>300</v>
      </c>
      <c r="AB173" s="629"/>
      <c r="AC173" s="527"/>
    </row>
    <row r="174" spans="1:29" ht="10.15" customHeight="1">
      <c r="A174" s="496"/>
      <c r="B174" s="265"/>
      <c r="C174" s="265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  <c r="AA174" s="363"/>
      <c r="AB174" s="265"/>
    </row>
    <row r="175" spans="1:29" ht="13.5" customHeight="1">
      <c r="A175" s="496"/>
      <c r="B175" s="265"/>
      <c r="C175" s="265"/>
      <c r="D175" s="766"/>
      <c r="E175" s="767"/>
      <c r="F175" s="767"/>
      <c r="G175" s="768"/>
      <c r="H175" s="304"/>
      <c r="I175" s="766"/>
      <c r="J175" s="767"/>
      <c r="K175" s="767"/>
      <c r="L175" s="768"/>
      <c r="M175" s="304"/>
      <c r="N175" s="766"/>
      <c r="O175" s="767"/>
      <c r="P175" s="767"/>
      <c r="Q175" s="768"/>
      <c r="R175" s="304"/>
      <c r="S175" s="766"/>
      <c r="T175" s="767"/>
      <c r="U175" s="767"/>
      <c r="V175" s="768"/>
      <c r="W175" s="304"/>
      <c r="X175" s="766"/>
      <c r="Y175" s="767"/>
      <c r="Z175" s="767"/>
      <c r="AA175" s="768"/>
      <c r="AB175" s="265"/>
    </row>
    <row r="176" spans="1:29" ht="13.5" customHeight="1">
      <c r="A176" s="496"/>
      <c r="B176" s="265"/>
      <c r="C176" s="265"/>
      <c r="D176" s="804"/>
      <c r="E176" s="805"/>
      <c r="F176" s="805"/>
      <c r="G176" s="806"/>
      <c r="H176" s="304"/>
      <c r="I176" s="761"/>
      <c r="J176" s="762"/>
      <c r="K176" s="762"/>
      <c r="L176" s="763"/>
      <c r="M176" s="304"/>
      <c r="N176" s="761"/>
      <c r="O176" s="762"/>
      <c r="P176" s="762"/>
      <c r="Q176" s="763"/>
      <c r="R176" s="304"/>
      <c r="S176" s="761"/>
      <c r="T176" s="762"/>
      <c r="U176" s="762"/>
      <c r="V176" s="763"/>
      <c r="W176" s="304"/>
      <c r="X176" s="761"/>
      <c r="Y176" s="762"/>
      <c r="Z176" s="762"/>
      <c r="AA176" s="763"/>
      <c r="AB176" s="265"/>
    </row>
    <row r="177" spans="1:29" ht="13.5" customHeight="1">
      <c r="A177" s="496"/>
      <c r="B177" s="265"/>
      <c r="C177" s="265"/>
      <c r="D177" s="804"/>
      <c r="E177" s="805"/>
      <c r="F177" s="805"/>
      <c r="G177" s="806"/>
      <c r="H177" s="304"/>
      <c r="I177" s="347"/>
      <c r="J177" s="348"/>
      <c r="K177" s="348"/>
      <c r="L177" s="349"/>
      <c r="M177" s="304"/>
      <c r="N177" s="347"/>
      <c r="O177" s="348"/>
      <c r="P177" s="348"/>
      <c r="Q177" s="349"/>
      <c r="R177" s="304"/>
      <c r="S177" s="347"/>
      <c r="T177" s="348"/>
      <c r="U177" s="348"/>
      <c r="V177" s="349"/>
      <c r="W177" s="304"/>
      <c r="X177" s="347"/>
      <c r="Y177" s="348"/>
      <c r="Z177" s="348"/>
      <c r="AA177" s="349"/>
      <c r="AB177" s="265"/>
    </row>
    <row r="178" spans="1:29" ht="13.5" customHeight="1">
      <c r="A178" s="496"/>
      <c r="B178" s="265"/>
      <c r="C178" s="265"/>
      <c r="D178" s="804"/>
      <c r="E178" s="805"/>
      <c r="F178" s="805"/>
      <c r="G178" s="806"/>
      <c r="H178" s="304"/>
      <c r="I178" s="761"/>
      <c r="J178" s="762"/>
      <c r="K178" s="762"/>
      <c r="L178" s="763"/>
      <c r="M178" s="304"/>
      <c r="N178" s="761"/>
      <c r="O178" s="762"/>
      <c r="P178" s="762"/>
      <c r="Q178" s="763"/>
      <c r="R178" s="304"/>
      <c r="S178" s="761"/>
      <c r="T178" s="762"/>
      <c r="U178" s="762"/>
      <c r="V178" s="763"/>
      <c r="W178" s="304"/>
      <c r="X178" s="761"/>
      <c r="Y178" s="762"/>
      <c r="Z178" s="762"/>
      <c r="AA178" s="763"/>
      <c r="AB178" s="265"/>
    </row>
    <row r="179" spans="1:29" ht="13.5" customHeight="1">
      <c r="A179" s="496"/>
      <c r="B179" s="265"/>
      <c r="C179" s="265"/>
      <c r="D179" s="804"/>
      <c r="E179" s="805"/>
      <c r="F179" s="805"/>
      <c r="G179" s="806"/>
      <c r="H179" s="304"/>
      <c r="I179" s="761"/>
      <c r="J179" s="762"/>
      <c r="K179" s="762"/>
      <c r="L179" s="763"/>
      <c r="M179" s="304"/>
      <c r="N179" s="761"/>
      <c r="O179" s="762"/>
      <c r="P179" s="762"/>
      <c r="Q179" s="763"/>
      <c r="R179" s="304"/>
      <c r="S179" s="761"/>
      <c r="T179" s="762"/>
      <c r="U179" s="762"/>
      <c r="V179" s="763"/>
      <c r="W179" s="304"/>
      <c r="X179" s="761"/>
      <c r="Y179" s="762"/>
      <c r="Z179" s="762"/>
      <c r="AA179" s="763"/>
      <c r="AB179" s="265"/>
    </row>
    <row r="180" spans="1:29" ht="13.5" customHeight="1">
      <c r="A180" s="496"/>
      <c r="B180" s="265"/>
      <c r="C180" s="265"/>
      <c r="D180" s="804"/>
      <c r="E180" s="805"/>
      <c r="F180" s="805"/>
      <c r="G180" s="806"/>
      <c r="H180" s="304"/>
      <c r="I180" s="761"/>
      <c r="J180" s="762"/>
      <c r="K180" s="762"/>
      <c r="L180" s="763"/>
      <c r="M180" s="304"/>
      <c r="N180" s="761"/>
      <c r="O180" s="762"/>
      <c r="P180" s="762"/>
      <c r="Q180" s="763"/>
      <c r="R180" s="304"/>
      <c r="S180" s="761"/>
      <c r="T180" s="762"/>
      <c r="U180" s="762"/>
      <c r="V180" s="763"/>
      <c r="W180" s="304"/>
      <c r="X180" s="761"/>
      <c r="Y180" s="762"/>
      <c r="Z180" s="762"/>
      <c r="AA180" s="763"/>
      <c r="AB180" s="265"/>
    </row>
    <row r="181" spans="1:29" ht="13.5" customHeight="1">
      <c r="A181" s="496"/>
      <c r="B181" s="265"/>
      <c r="C181" s="265"/>
      <c r="D181" s="771" t="s">
        <v>532</v>
      </c>
      <c r="E181" s="772"/>
      <c r="F181" s="772"/>
      <c r="G181" s="773"/>
      <c r="H181" s="304"/>
      <c r="I181" s="771" t="s">
        <v>533</v>
      </c>
      <c r="J181" s="772"/>
      <c r="K181" s="772"/>
      <c r="L181" s="773"/>
      <c r="M181" s="304"/>
      <c r="N181" s="771" t="s">
        <v>534</v>
      </c>
      <c r="O181" s="772"/>
      <c r="P181" s="772"/>
      <c r="Q181" s="773"/>
      <c r="R181" s="304"/>
      <c r="S181" s="771" t="s">
        <v>535</v>
      </c>
      <c r="T181" s="772"/>
      <c r="U181" s="772"/>
      <c r="V181" s="773"/>
      <c r="W181" s="304"/>
      <c r="X181" s="771" t="s">
        <v>350</v>
      </c>
      <c r="Y181" s="772"/>
      <c r="Z181" s="772"/>
      <c r="AA181" s="773"/>
      <c r="AB181" s="265"/>
    </row>
    <row r="182" spans="1:29" ht="16.149999999999999" customHeight="1">
      <c r="A182" s="496"/>
      <c r="B182" s="265"/>
      <c r="C182" s="265"/>
      <c r="D182" s="777">
        <v>0.85</v>
      </c>
      <c r="E182" s="778"/>
      <c r="F182" s="769">
        <v>0</v>
      </c>
      <c r="G182" s="770"/>
      <c r="H182" s="304"/>
      <c r="I182" s="979">
        <v>0.75</v>
      </c>
      <c r="J182" s="980"/>
      <c r="K182" s="981">
        <v>0</v>
      </c>
      <c r="L182" s="982"/>
      <c r="M182" s="304"/>
      <c r="N182" s="979">
        <v>0.75</v>
      </c>
      <c r="O182" s="980"/>
      <c r="P182" s="981">
        <v>0</v>
      </c>
      <c r="Q182" s="982"/>
      <c r="R182" s="304"/>
      <c r="S182" s="979">
        <v>1</v>
      </c>
      <c r="T182" s="980"/>
      <c r="U182" s="981">
        <v>0</v>
      </c>
      <c r="V182" s="982"/>
      <c r="W182" s="304"/>
      <c r="X182" s="979">
        <v>1</v>
      </c>
      <c r="Y182" s="980"/>
      <c r="Z182" s="981">
        <v>0</v>
      </c>
      <c r="AA182" s="982"/>
      <c r="AB182" s="265"/>
    </row>
    <row r="183" spans="1:29" s="528" customFormat="1" ht="16.149999999999999" customHeight="1">
      <c r="A183" s="524"/>
      <c r="B183" s="525"/>
      <c r="C183" s="525"/>
      <c r="D183" s="612">
        <f>D182*G183</f>
        <v>255</v>
      </c>
      <c r="E183" s="632"/>
      <c r="F183" s="633" t="s">
        <v>333</v>
      </c>
      <c r="G183" s="634">
        <v>300</v>
      </c>
      <c r="H183" s="611"/>
      <c r="I183" s="612">
        <f>I182*L183</f>
        <v>108.75</v>
      </c>
      <c r="J183" s="632"/>
      <c r="K183" s="633" t="s">
        <v>333</v>
      </c>
      <c r="L183" s="634">
        <v>145</v>
      </c>
      <c r="M183" s="611"/>
      <c r="N183" s="612">
        <f>N182*Q183</f>
        <v>108.75</v>
      </c>
      <c r="O183" s="632"/>
      <c r="P183" s="633" t="s">
        <v>333</v>
      </c>
      <c r="Q183" s="634">
        <v>145</v>
      </c>
      <c r="R183" s="611"/>
      <c r="S183" s="612">
        <f>S182*V183</f>
        <v>100</v>
      </c>
      <c r="T183" s="632"/>
      <c r="U183" s="633" t="s">
        <v>333</v>
      </c>
      <c r="V183" s="634">
        <v>100</v>
      </c>
      <c r="W183" s="611"/>
      <c r="X183" s="612">
        <f>X182*AA183</f>
        <v>100</v>
      </c>
      <c r="Y183" s="632"/>
      <c r="Z183" s="633" t="s">
        <v>333</v>
      </c>
      <c r="AA183" s="634">
        <v>100</v>
      </c>
      <c r="AB183" s="525"/>
      <c r="AC183" s="527"/>
    </row>
    <row r="184" spans="1:29" ht="27" customHeight="1" thickBot="1">
      <c r="A184" s="496"/>
      <c r="B184" s="265"/>
      <c r="C184" s="265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  <c r="AA184" s="301"/>
      <c r="AB184" s="265"/>
    </row>
    <row r="185" spans="1:29" s="198" customFormat="1" ht="27" customHeight="1" thickTop="1">
      <c r="A185" s="502"/>
      <c r="B185" s="431"/>
      <c r="C185" s="279"/>
      <c r="D185" s="729" t="s">
        <v>649</v>
      </c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  <c r="Z185" s="729"/>
      <c r="AA185" s="729"/>
      <c r="AB185" s="431"/>
      <c r="AC185" s="448"/>
    </row>
    <row r="186" spans="1:29" ht="27" customHeight="1">
      <c r="A186" s="496"/>
      <c r="B186" s="265"/>
      <c r="C186" s="265"/>
      <c r="D186" s="866" t="s">
        <v>311</v>
      </c>
      <c r="E186" s="866"/>
      <c r="F186" s="866"/>
      <c r="G186" s="866"/>
      <c r="H186" s="866"/>
      <c r="I186" s="866"/>
      <c r="J186" s="866"/>
      <c r="K186" s="866"/>
      <c r="L186" s="866"/>
      <c r="M186" s="866"/>
      <c r="N186" s="866"/>
      <c r="O186" s="866"/>
      <c r="P186" s="866"/>
      <c r="Q186" s="866"/>
      <c r="R186" s="866"/>
      <c r="S186" s="866"/>
      <c r="T186" s="866"/>
      <c r="U186" s="866"/>
      <c r="V186" s="866"/>
      <c r="W186" s="866"/>
      <c r="X186" s="866"/>
      <c r="Y186" s="866"/>
      <c r="Z186" s="866"/>
      <c r="AA186" s="866"/>
      <c r="AB186" s="441"/>
    </row>
    <row r="187" spans="1:29" s="190" customFormat="1" ht="18.75">
      <c r="A187" s="497"/>
      <c r="B187" s="265"/>
      <c r="C187" s="265"/>
      <c r="D187" s="766"/>
      <c r="E187" s="767"/>
      <c r="F187" s="767"/>
      <c r="G187" s="768"/>
      <c r="H187" s="304"/>
      <c r="I187" s="766"/>
      <c r="J187" s="767"/>
      <c r="K187" s="767"/>
      <c r="L187" s="768"/>
      <c r="M187" s="304"/>
      <c r="N187" s="766"/>
      <c r="O187" s="767"/>
      <c r="P187" s="767"/>
      <c r="Q187" s="768"/>
      <c r="R187" s="304"/>
      <c r="S187" s="766"/>
      <c r="T187" s="767"/>
      <c r="U187" s="767"/>
      <c r="V187" s="768"/>
      <c r="W187" s="304"/>
      <c r="X187" s="766"/>
      <c r="Y187" s="767"/>
      <c r="Z187" s="767"/>
      <c r="AA187" s="768"/>
      <c r="AB187" s="265"/>
      <c r="AC187" s="445"/>
    </row>
    <row r="188" spans="1:29" s="188" customFormat="1" ht="13.5" customHeight="1">
      <c r="A188" s="265"/>
      <c r="B188" s="265"/>
      <c r="C188" s="265"/>
      <c r="D188" s="742"/>
      <c r="E188" s="743"/>
      <c r="F188" s="743"/>
      <c r="G188" s="744"/>
      <c r="H188" s="304"/>
      <c r="I188" s="742"/>
      <c r="J188" s="743"/>
      <c r="K188" s="743"/>
      <c r="L188" s="744"/>
      <c r="M188" s="304"/>
      <c r="N188" s="742"/>
      <c r="O188" s="743"/>
      <c r="P188" s="743"/>
      <c r="Q188" s="744"/>
      <c r="R188" s="304"/>
      <c r="S188" s="742"/>
      <c r="T188" s="743"/>
      <c r="U188" s="743"/>
      <c r="V188" s="744"/>
      <c r="W188" s="304"/>
      <c r="X188" s="742"/>
      <c r="Y188" s="743"/>
      <c r="Z188" s="743"/>
      <c r="AA188" s="744"/>
      <c r="AB188" s="265"/>
      <c r="AC188" s="206"/>
    </row>
    <row r="189" spans="1:29" ht="14.25">
      <c r="A189" s="496"/>
      <c r="B189" s="265"/>
      <c r="C189" s="265"/>
      <c r="D189" s="329"/>
      <c r="E189" s="330"/>
      <c r="F189" s="330"/>
      <c r="G189" s="331"/>
      <c r="H189" s="304"/>
      <c r="I189" s="329"/>
      <c r="J189" s="330"/>
      <c r="K189" s="330"/>
      <c r="L189" s="331"/>
      <c r="M189" s="304"/>
      <c r="N189" s="329"/>
      <c r="O189" s="330"/>
      <c r="P189" s="330"/>
      <c r="Q189" s="331"/>
      <c r="R189" s="304"/>
      <c r="S189" s="329"/>
      <c r="T189" s="330"/>
      <c r="U189" s="330"/>
      <c r="V189" s="331"/>
      <c r="W189" s="304"/>
      <c r="X189" s="329"/>
      <c r="Y189" s="330"/>
      <c r="Z189" s="330"/>
      <c r="AA189" s="331"/>
      <c r="AB189" s="265"/>
    </row>
    <row r="190" spans="1:29" ht="14.25">
      <c r="A190" s="496"/>
      <c r="B190" s="265"/>
      <c r="C190" s="265"/>
      <c r="D190" s="742"/>
      <c r="E190" s="743"/>
      <c r="F190" s="743"/>
      <c r="G190" s="744"/>
      <c r="H190" s="304"/>
      <c r="I190" s="742"/>
      <c r="J190" s="743"/>
      <c r="K190" s="743"/>
      <c r="L190" s="744"/>
      <c r="M190" s="304"/>
      <c r="N190" s="742"/>
      <c r="O190" s="743"/>
      <c r="P190" s="743"/>
      <c r="Q190" s="744"/>
      <c r="R190" s="304"/>
      <c r="S190" s="742"/>
      <c r="T190" s="743"/>
      <c r="U190" s="743"/>
      <c r="V190" s="744"/>
      <c r="W190" s="304"/>
      <c r="X190" s="742"/>
      <c r="Y190" s="743"/>
      <c r="Z190" s="743"/>
      <c r="AA190" s="744"/>
      <c r="AB190" s="265"/>
    </row>
    <row r="191" spans="1:29" ht="14.25">
      <c r="A191" s="496"/>
      <c r="B191" s="265"/>
      <c r="C191" s="265"/>
      <c r="D191" s="742"/>
      <c r="E191" s="743"/>
      <c r="F191" s="743"/>
      <c r="G191" s="744"/>
      <c r="H191" s="304"/>
      <c r="I191" s="742"/>
      <c r="J191" s="743"/>
      <c r="K191" s="743"/>
      <c r="L191" s="744"/>
      <c r="M191" s="304"/>
      <c r="N191" s="742"/>
      <c r="O191" s="743"/>
      <c r="P191" s="743"/>
      <c r="Q191" s="744"/>
      <c r="R191" s="304"/>
      <c r="S191" s="742"/>
      <c r="T191" s="743"/>
      <c r="U191" s="743"/>
      <c r="V191" s="744"/>
      <c r="W191" s="304"/>
      <c r="X191" s="742"/>
      <c r="Y191" s="743"/>
      <c r="Z191" s="743"/>
      <c r="AA191" s="744"/>
      <c r="AB191" s="265"/>
    </row>
    <row r="192" spans="1:29" ht="14.25">
      <c r="A192" s="496"/>
      <c r="B192" s="265"/>
      <c r="C192" s="265"/>
      <c r="D192" s="745"/>
      <c r="E192" s="746"/>
      <c r="F192" s="746"/>
      <c r="G192" s="747"/>
      <c r="H192" s="304"/>
      <c r="I192" s="745"/>
      <c r="J192" s="746"/>
      <c r="K192" s="746"/>
      <c r="L192" s="747"/>
      <c r="M192" s="304"/>
      <c r="N192" s="745"/>
      <c r="O192" s="746"/>
      <c r="P192" s="746"/>
      <c r="Q192" s="747"/>
      <c r="R192" s="304"/>
      <c r="S192" s="745"/>
      <c r="T192" s="746"/>
      <c r="U192" s="746"/>
      <c r="V192" s="747"/>
      <c r="W192" s="304"/>
      <c r="X192" s="745"/>
      <c r="Y192" s="746"/>
      <c r="Z192" s="746"/>
      <c r="AA192" s="747"/>
      <c r="AB192" s="265"/>
    </row>
    <row r="193" spans="1:29" ht="15">
      <c r="A193" s="496"/>
      <c r="B193" s="265"/>
      <c r="C193" s="265"/>
      <c r="D193" s="782" t="s">
        <v>351</v>
      </c>
      <c r="E193" s="783"/>
      <c r="F193" s="783"/>
      <c r="G193" s="784"/>
      <c r="H193" s="304"/>
      <c r="I193" s="782" t="s">
        <v>352</v>
      </c>
      <c r="J193" s="783"/>
      <c r="K193" s="783"/>
      <c r="L193" s="784"/>
      <c r="M193" s="304"/>
      <c r="N193" s="782" t="s">
        <v>353</v>
      </c>
      <c r="O193" s="783"/>
      <c r="P193" s="783"/>
      <c r="Q193" s="784"/>
      <c r="R193" s="304"/>
      <c r="S193" s="782" t="s">
        <v>360</v>
      </c>
      <c r="T193" s="783"/>
      <c r="U193" s="783"/>
      <c r="V193" s="784"/>
      <c r="W193" s="304"/>
      <c r="X193" s="782" t="s">
        <v>361</v>
      </c>
      <c r="Y193" s="783"/>
      <c r="Z193" s="783"/>
      <c r="AA193" s="784"/>
      <c r="AB193" s="265"/>
    </row>
    <row r="194" spans="1:29" s="295" customFormat="1" ht="13.5" customHeight="1">
      <c r="A194" s="504"/>
      <c r="B194" s="297"/>
      <c r="C194" s="297"/>
      <c r="D194" s="817" t="s">
        <v>323</v>
      </c>
      <c r="E194" s="817"/>
      <c r="F194" s="817"/>
      <c r="G194" s="817"/>
      <c r="H194" s="360"/>
      <c r="I194" s="799" t="s">
        <v>324</v>
      </c>
      <c r="J194" s="800"/>
      <c r="K194" s="800"/>
      <c r="L194" s="801"/>
      <c r="M194" s="360"/>
      <c r="N194" s="799" t="s">
        <v>466</v>
      </c>
      <c r="O194" s="800"/>
      <c r="P194" s="800"/>
      <c r="Q194" s="801"/>
      <c r="R194" s="360"/>
      <c r="S194" s="799" t="s">
        <v>325</v>
      </c>
      <c r="T194" s="800"/>
      <c r="U194" s="800"/>
      <c r="V194" s="801"/>
      <c r="W194" s="360"/>
      <c r="X194" s="799" t="s">
        <v>326</v>
      </c>
      <c r="Y194" s="800"/>
      <c r="Z194" s="800"/>
      <c r="AA194" s="801"/>
      <c r="AB194" s="297"/>
      <c r="AC194" s="450"/>
    </row>
    <row r="195" spans="1:29" s="295" customFormat="1" ht="13.5" customHeight="1">
      <c r="A195" s="504"/>
      <c r="B195" s="296"/>
      <c r="C195" s="296"/>
      <c r="D195" s="774" t="s">
        <v>20</v>
      </c>
      <c r="E195" s="775"/>
      <c r="F195" s="775"/>
      <c r="G195" s="776"/>
      <c r="H195" s="313"/>
      <c r="I195" s="774" t="s">
        <v>23</v>
      </c>
      <c r="J195" s="775"/>
      <c r="K195" s="775"/>
      <c r="L195" s="776"/>
      <c r="M195" s="313"/>
      <c r="N195" s="774" t="s">
        <v>317</v>
      </c>
      <c r="O195" s="775"/>
      <c r="P195" s="775"/>
      <c r="Q195" s="776"/>
      <c r="R195" s="313"/>
      <c r="S195" s="774" t="s">
        <v>24</v>
      </c>
      <c r="T195" s="775"/>
      <c r="U195" s="775"/>
      <c r="V195" s="776"/>
      <c r="W195" s="313"/>
      <c r="X195" s="774" t="s">
        <v>25</v>
      </c>
      <c r="Y195" s="775"/>
      <c r="Z195" s="775"/>
      <c r="AA195" s="776"/>
      <c r="AB195" s="296"/>
      <c r="AC195" s="450"/>
    </row>
    <row r="196" spans="1:29" s="200" customFormat="1" ht="16.149999999999999" customHeight="1" thickBot="1">
      <c r="A196" s="505"/>
      <c r="B196" s="265"/>
      <c r="C196" s="265"/>
      <c r="D196" s="759">
        <f>(D162*2)+D343+I343</f>
        <v>1.4500000000000002</v>
      </c>
      <c r="E196" s="760"/>
      <c r="F196" s="752">
        <v>0</v>
      </c>
      <c r="G196" s="753"/>
      <c r="H196" s="304"/>
      <c r="I196" s="759">
        <f>I162+N162+(D343*2)+(I343*2)</f>
        <v>2.48</v>
      </c>
      <c r="J196" s="760"/>
      <c r="K196" s="752">
        <v>0</v>
      </c>
      <c r="L196" s="753"/>
      <c r="M196" s="304"/>
      <c r="N196" s="759">
        <f>(I162*2)+S162+(D343*3)+(I343*3)</f>
        <v>3.5700000000000003</v>
      </c>
      <c r="O196" s="760"/>
      <c r="P196" s="752">
        <v>0</v>
      </c>
      <c r="Q196" s="753"/>
      <c r="R196" s="304"/>
      <c r="S196" s="759">
        <f>(S162*2)+(D343*2)+(I343*2)</f>
        <v>2.3000000000000003</v>
      </c>
      <c r="T196" s="760"/>
      <c r="U196" s="752">
        <v>0</v>
      </c>
      <c r="V196" s="753"/>
      <c r="W196" s="304"/>
      <c r="X196" s="759">
        <f>(I162*4)+(D343*4)+(I343*4)</f>
        <v>4.8400000000000007</v>
      </c>
      <c r="Y196" s="760"/>
      <c r="Z196" s="752">
        <v>0</v>
      </c>
      <c r="AA196" s="753"/>
      <c r="AB196" s="265"/>
      <c r="AC196" s="451"/>
    </row>
    <row r="197" spans="1:29" s="199" customFormat="1" ht="10.15" customHeight="1">
      <c r="A197" s="503"/>
      <c r="B197" s="265"/>
      <c r="C197" s="265"/>
      <c r="D197" s="361"/>
      <c r="E197" s="361"/>
      <c r="F197" s="362"/>
      <c r="G197" s="362"/>
      <c r="H197" s="363"/>
      <c r="I197" s="361"/>
      <c r="J197" s="361"/>
      <c r="K197" s="362"/>
      <c r="L197" s="362"/>
      <c r="M197" s="363"/>
      <c r="N197" s="361"/>
      <c r="O197" s="361"/>
      <c r="P197" s="362"/>
      <c r="Q197" s="362"/>
      <c r="R197" s="363"/>
      <c r="S197" s="361"/>
      <c r="T197" s="361"/>
      <c r="U197" s="362"/>
      <c r="V197" s="362"/>
      <c r="W197" s="363"/>
      <c r="X197" s="361"/>
      <c r="Y197" s="361"/>
      <c r="Z197" s="362"/>
      <c r="AA197" s="362"/>
      <c r="AB197" s="265"/>
      <c r="AC197" s="449"/>
    </row>
    <row r="198" spans="1:29" s="199" customFormat="1" ht="13.5" customHeight="1">
      <c r="A198" s="503"/>
      <c r="B198" s="265"/>
      <c r="C198" s="265"/>
      <c r="D198" s="739"/>
      <c r="E198" s="740"/>
      <c r="F198" s="740"/>
      <c r="G198" s="741"/>
      <c r="H198" s="304"/>
      <c r="I198" s="739"/>
      <c r="J198" s="740"/>
      <c r="K198" s="740"/>
      <c r="L198" s="741"/>
      <c r="M198" s="304"/>
      <c r="N198" s="739"/>
      <c r="O198" s="740"/>
      <c r="P198" s="740"/>
      <c r="Q198" s="741"/>
      <c r="R198" s="304"/>
      <c r="S198" s="739"/>
      <c r="T198" s="740"/>
      <c r="U198" s="740"/>
      <c r="V198" s="741"/>
      <c r="W198" s="304"/>
      <c r="X198" s="766"/>
      <c r="Y198" s="767"/>
      <c r="Z198" s="767"/>
      <c r="AA198" s="768"/>
      <c r="AB198" s="265"/>
      <c r="AC198" s="449"/>
    </row>
    <row r="199" spans="1:29" ht="14.25">
      <c r="A199" s="496"/>
      <c r="B199" s="265"/>
      <c r="C199" s="265"/>
      <c r="D199" s="742"/>
      <c r="E199" s="743"/>
      <c r="F199" s="743"/>
      <c r="G199" s="744"/>
      <c r="H199" s="304"/>
      <c r="I199" s="742"/>
      <c r="J199" s="743"/>
      <c r="K199" s="743"/>
      <c r="L199" s="744"/>
      <c r="M199" s="304"/>
      <c r="N199" s="742"/>
      <c r="O199" s="743"/>
      <c r="P199" s="743"/>
      <c r="Q199" s="744"/>
      <c r="R199" s="304"/>
      <c r="S199" s="742"/>
      <c r="T199" s="743"/>
      <c r="U199" s="743"/>
      <c r="V199" s="744"/>
      <c r="W199" s="304"/>
      <c r="X199" s="804"/>
      <c r="Y199" s="805"/>
      <c r="Z199" s="805"/>
      <c r="AA199" s="806"/>
      <c r="AB199" s="265"/>
    </row>
    <row r="200" spans="1:29" ht="14.25">
      <c r="A200" s="496"/>
      <c r="B200" s="265"/>
      <c r="C200" s="265"/>
      <c r="D200" s="742"/>
      <c r="E200" s="743"/>
      <c r="F200" s="743"/>
      <c r="G200" s="744"/>
      <c r="H200" s="304"/>
      <c r="I200" s="742"/>
      <c r="J200" s="743"/>
      <c r="K200" s="743"/>
      <c r="L200" s="744"/>
      <c r="M200" s="304"/>
      <c r="N200" s="742"/>
      <c r="O200" s="743"/>
      <c r="P200" s="743"/>
      <c r="Q200" s="744"/>
      <c r="R200" s="304"/>
      <c r="S200" s="742"/>
      <c r="T200" s="743"/>
      <c r="U200" s="743"/>
      <c r="V200" s="744"/>
      <c r="W200" s="304"/>
      <c r="X200" s="804"/>
      <c r="Y200" s="805"/>
      <c r="Z200" s="805"/>
      <c r="AA200" s="806"/>
      <c r="AB200" s="265"/>
    </row>
    <row r="201" spans="1:29" ht="14.25">
      <c r="A201" s="496"/>
      <c r="B201" s="265"/>
      <c r="C201" s="265"/>
      <c r="D201" s="329"/>
      <c r="E201" s="330"/>
      <c r="F201" s="330"/>
      <c r="G201" s="331"/>
      <c r="H201" s="304"/>
      <c r="I201" s="329"/>
      <c r="J201" s="330"/>
      <c r="K201" s="330"/>
      <c r="L201" s="331"/>
      <c r="M201" s="304"/>
      <c r="N201" s="329"/>
      <c r="O201" s="330"/>
      <c r="P201" s="330"/>
      <c r="Q201" s="331"/>
      <c r="R201" s="304"/>
      <c r="S201" s="329"/>
      <c r="T201" s="330"/>
      <c r="U201" s="330"/>
      <c r="V201" s="331"/>
      <c r="W201" s="304"/>
      <c r="X201" s="804"/>
      <c r="Y201" s="805"/>
      <c r="Z201" s="805"/>
      <c r="AA201" s="806"/>
      <c r="AB201" s="265"/>
    </row>
    <row r="202" spans="1:29" ht="14.25">
      <c r="A202" s="496"/>
      <c r="B202" s="265"/>
      <c r="C202" s="265"/>
      <c r="D202" s="742"/>
      <c r="E202" s="743"/>
      <c r="F202" s="743"/>
      <c r="G202" s="744"/>
      <c r="H202" s="304"/>
      <c r="I202" s="742"/>
      <c r="J202" s="743"/>
      <c r="K202" s="743"/>
      <c r="L202" s="744"/>
      <c r="M202" s="304"/>
      <c r="N202" s="742"/>
      <c r="O202" s="743"/>
      <c r="P202" s="743"/>
      <c r="Q202" s="744"/>
      <c r="R202" s="304"/>
      <c r="S202" s="742"/>
      <c r="T202" s="743"/>
      <c r="U202" s="743"/>
      <c r="V202" s="744"/>
      <c r="W202" s="304"/>
      <c r="X202" s="804"/>
      <c r="Y202" s="805"/>
      <c r="Z202" s="805"/>
      <c r="AA202" s="806"/>
      <c r="AB202" s="265"/>
    </row>
    <row r="203" spans="1:29" ht="13.5" customHeight="1">
      <c r="A203" s="496"/>
      <c r="B203" s="265"/>
      <c r="C203" s="265"/>
      <c r="D203" s="745"/>
      <c r="E203" s="746"/>
      <c r="F203" s="746"/>
      <c r="G203" s="747"/>
      <c r="H203" s="304"/>
      <c r="I203" s="745"/>
      <c r="J203" s="746"/>
      <c r="K203" s="746"/>
      <c r="L203" s="747"/>
      <c r="M203" s="304"/>
      <c r="N203" s="745"/>
      <c r="O203" s="746"/>
      <c r="P203" s="746"/>
      <c r="Q203" s="747"/>
      <c r="R203" s="304"/>
      <c r="S203" s="745"/>
      <c r="T203" s="746"/>
      <c r="U203" s="746"/>
      <c r="V203" s="747"/>
      <c r="W203" s="304"/>
      <c r="X203" s="807"/>
      <c r="Y203" s="808"/>
      <c r="Z203" s="808"/>
      <c r="AA203" s="809"/>
      <c r="AB203" s="265"/>
    </row>
    <row r="204" spans="1:29" ht="15">
      <c r="A204" s="496"/>
      <c r="B204" s="265"/>
      <c r="C204" s="265"/>
      <c r="D204" s="782" t="s">
        <v>365</v>
      </c>
      <c r="E204" s="783"/>
      <c r="F204" s="783"/>
      <c r="G204" s="784"/>
      <c r="H204" s="304"/>
      <c r="I204" s="782" t="s">
        <v>364</v>
      </c>
      <c r="J204" s="783"/>
      <c r="K204" s="783"/>
      <c r="L204" s="784"/>
      <c r="M204" s="304"/>
      <c r="N204" s="782" t="s">
        <v>536</v>
      </c>
      <c r="O204" s="783"/>
      <c r="P204" s="783"/>
      <c r="Q204" s="784"/>
      <c r="R204" s="304"/>
      <c r="S204" s="794" t="s">
        <v>363</v>
      </c>
      <c r="T204" s="795"/>
      <c r="U204" s="795"/>
      <c r="V204" s="796"/>
      <c r="W204" s="304"/>
      <c r="X204" s="782" t="s">
        <v>558</v>
      </c>
      <c r="Y204" s="783"/>
      <c r="Z204" s="783"/>
      <c r="AA204" s="784"/>
      <c r="AB204" s="265"/>
    </row>
    <row r="205" spans="1:29" s="295" customFormat="1" ht="13.5" customHeight="1">
      <c r="A205" s="504"/>
      <c r="B205" s="294"/>
      <c r="C205" s="294"/>
      <c r="D205" s="799" t="s">
        <v>327</v>
      </c>
      <c r="E205" s="800"/>
      <c r="F205" s="800"/>
      <c r="G205" s="801"/>
      <c r="H205" s="360"/>
      <c r="I205" s="799" t="s">
        <v>328</v>
      </c>
      <c r="J205" s="800"/>
      <c r="K205" s="800"/>
      <c r="L205" s="801"/>
      <c r="M205" s="360"/>
      <c r="N205" s="1052" t="s">
        <v>537</v>
      </c>
      <c r="O205" s="1052"/>
      <c r="P205" s="1053"/>
      <c r="Q205" s="1053"/>
      <c r="R205" s="360"/>
      <c r="S205" s="816" t="s">
        <v>329</v>
      </c>
      <c r="T205" s="816"/>
      <c r="U205" s="817"/>
      <c r="V205" s="817"/>
      <c r="W205" s="360"/>
      <c r="X205" s="862" t="s">
        <v>577</v>
      </c>
      <c r="Y205" s="863"/>
      <c r="Z205" s="863"/>
      <c r="AA205" s="864"/>
      <c r="AB205" s="294"/>
      <c r="AC205" s="450"/>
    </row>
    <row r="206" spans="1:29" s="295" customFormat="1" ht="13.5" customHeight="1">
      <c r="A206" s="504"/>
      <c r="B206" s="296"/>
      <c r="C206" s="296"/>
      <c r="D206" s="774" t="s">
        <v>21</v>
      </c>
      <c r="E206" s="775"/>
      <c r="F206" s="775"/>
      <c r="G206" s="776"/>
      <c r="H206" s="313"/>
      <c r="I206" s="774" t="s">
        <v>254</v>
      </c>
      <c r="J206" s="775"/>
      <c r="K206" s="775"/>
      <c r="L206" s="776"/>
      <c r="M206" s="313"/>
      <c r="N206" s="774" t="s">
        <v>538</v>
      </c>
      <c r="O206" s="775"/>
      <c r="P206" s="775"/>
      <c r="Q206" s="776"/>
      <c r="R206" s="313"/>
      <c r="S206" s="774" t="s">
        <v>258</v>
      </c>
      <c r="T206" s="775"/>
      <c r="U206" s="775"/>
      <c r="V206" s="776"/>
      <c r="W206" s="313"/>
      <c r="X206" s="774" t="s">
        <v>256</v>
      </c>
      <c r="Y206" s="775"/>
      <c r="Z206" s="775"/>
      <c r="AA206" s="776"/>
      <c r="AB206" s="296"/>
      <c r="AC206" s="450"/>
    </row>
    <row r="207" spans="1:29" s="199" customFormat="1" ht="16.149999999999999" customHeight="1" thickBot="1">
      <c r="A207" s="503"/>
      <c r="B207" s="265"/>
      <c r="C207" s="265"/>
      <c r="D207" s="759">
        <f>(X162*2)+(D172*2)+(D343*2)+(I343*2)</f>
        <v>2.9000000000000004</v>
      </c>
      <c r="E207" s="760"/>
      <c r="F207" s="752">
        <v>0</v>
      </c>
      <c r="G207" s="753"/>
      <c r="H207" s="304"/>
      <c r="I207" s="759">
        <f>(I172*2)+D343+I343</f>
        <v>1.4500000000000002</v>
      </c>
      <c r="J207" s="760"/>
      <c r="K207" s="752">
        <v>0</v>
      </c>
      <c r="L207" s="753"/>
      <c r="M207" s="304"/>
      <c r="N207" s="759">
        <f>(N172*2)+X230+D343+I343</f>
        <v>2.1799999999999997</v>
      </c>
      <c r="O207" s="760"/>
      <c r="P207" s="752">
        <v>0</v>
      </c>
      <c r="Q207" s="753"/>
      <c r="R207" s="304"/>
      <c r="S207" s="788">
        <f>(S172*2)+D343+I343</f>
        <v>1.79</v>
      </c>
      <c r="T207" s="789"/>
      <c r="U207" s="909">
        <v>0</v>
      </c>
      <c r="V207" s="910"/>
      <c r="W207" s="304"/>
      <c r="X207" s="759">
        <f>X172+D182+D343+I343</f>
        <v>1.8800000000000001</v>
      </c>
      <c r="Y207" s="760"/>
      <c r="Z207" s="752">
        <v>0</v>
      </c>
      <c r="AA207" s="753"/>
      <c r="AB207" s="265"/>
      <c r="AC207" s="449"/>
    </row>
    <row r="208" spans="1:29" s="199" customFormat="1" ht="10.15" customHeight="1">
      <c r="A208" s="503"/>
      <c r="B208" s="265"/>
      <c r="C208" s="265"/>
      <c r="D208" s="364"/>
      <c r="E208" s="364"/>
      <c r="F208" s="365"/>
      <c r="G208" s="365"/>
      <c r="H208" s="304"/>
      <c r="I208" s="364"/>
      <c r="J208" s="364"/>
      <c r="K208" s="365"/>
      <c r="L208" s="365"/>
      <c r="M208" s="304"/>
      <c r="N208" s="364"/>
      <c r="O208" s="364"/>
      <c r="P208" s="365"/>
      <c r="Q208" s="365"/>
      <c r="R208" s="304"/>
      <c r="S208" s="364"/>
      <c r="T208" s="364"/>
      <c r="U208" s="365"/>
      <c r="V208" s="365"/>
      <c r="W208" s="304"/>
      <c r="X208" s="344"/>
      <c r="Y208" s="344"/>
      <c r="Z208" s="365"/>
      <c r="AA208" s="365"/>
      <c r="AB208" s="265"/>
      <c r="AC208" s="449"/>
    </row>
    <row r="209" spans="1:29" s="199" customFormat="1" ht="13.5" customHeight="1">
      <c r="A209" s="503"/>
      <c r="B209" s="265"/>
      <c r="C209" s="265"/>
      <c r="D209" s="739"/>
      <c r="E209" s="740"/>
      <c r="F209" s="740"/>
      <c r="G209" s="741"/>
      <c r="H209" s="304"/>
      <c r="I209" s="739"/>
      <c r="J209" s="740"/>
      <c r="K209" s="740"/>
      <c r="L209" s="741"/>
      <c r="M209" s="304"/>
      <c r="N209" s="739"/>
      <c r="O209" s="740"/>
      <c r="P209" s="740"/>
      <c r="Q209" s="741"/>
      <c r="R209" s="304"/>
      <c r="S209" s="364"/>
      <c r="T209" s="364"/>
      <c r="U209" s="365"/>
      <c r="V209" s="365"/>
      <c r="W209" s="304"/>
      <c r="X209" s="344"/>
      <c r="Y209" s="344"/>
      <c r="Z209" s="365"/>
      <c r="AA209" s="365"/>
      <c r="AB209" s="265"/>
      <c r="AC209" s="449"/>
    </row>
    <row r="210" spans="1:29" s="199" customFormat="1" ht="13.5" customHeight="1">
      <c r="A210" s="503"/>
      <c r="B210" s="265"/>
      <c r="C210" s="265"/>
      <c r="D210" s="742"/>
      <c r="E210" s="743"/>
      <c r="F210" s="743"/>
      <c r="G210" s="744"/>
      <c r="H210" s="304"/>
      <c r="I210" s="742"/>
      <c r="J210" s="743"/>
      <c r="K210" s="743"/>
      <c r="L210" s="744"/>
      <c r="M210" s="304"/>
      <c r="N210" s="742"/>
      <c r="O210" s="743"/>
      <c r="P210" s="743"/>
      <c r="Q210" s="744"/>
      <c r="R210" s="304"/>
      <c r="S210" s="364"/>
      <c r="T210" s="364"/>
      <c r="U210" s="365"/>
      <c r="V210" s="365"/>
      <c r="W210" s="304"/>
      <c r="X210" s="344"/>
      <c r="Y210" s="344"/>
      <c r="Z210" s="365"/>
      <c r="AA210" s="365"/>
      <c r="AB210" s="265"/>
      <c r="AC210" s="449"/>
    </row>
    <row r="211" spans="1:29" s="199" customFormat="1" ht="13.5" customHeight="1">
      <c r="A211" s="503"/>
      <c r="B211" s="265"/>
      <c r="C211" s="265"/>
      <c r="D211" s="742"/>
      <c r="E211" s="743"/>
      <c r="F211" s="743"/>
      <c r="G211" s="744"/>
      <c r="H211" s="304"/>
      <c r="I211" s="742"/>
      <c r="J211" s="743"/>
      <c r="K211" s="743"/>
      <c r="L211" s="744"/>
      <c r="M211" s="304"/>
      <c r="N211" s="742"/>
      <c r="O211" s="743"/>
      <c r="P211" s="743"/>
      <c r="Q211" s="744"/>
      <c r="R211" s="304"/>
      <c r="S211" s="364"/>
      <c r="T211" s="364"/>
      <c r="U211" s="365"/>
      <c r="V211" s="365"/>
      <c r="W211" s="304"/>
      <c r="X211" s="344"/>
      <c r="Y211" s="344"/>
      <c r="Z211" s="365"/>
      <c r="AA211" s="365"/>
      <c r="AB211" s="265"/>
      <c r="AC211" s="449"/>
    </row>
    <row r="212" spans="1:29" s="199" customFormat="1" ht="13.5" customHeight="1">
      <c r="A212" s="503"/>
      <c r="B212" s="265"/>
      <c r="C212" s="265"/>
      <c r="D212" s="329"/>
      <c r="E212" s="330"/>
      <c r="F212" s="330"/>
      <c r="G212" s="331"/>
      <c r="H212" s="304"/>
      <c r="I212" s="329"/>
      <c r="J212" s="330"/>
      <c r="K212" s="330"/>
      <c r="L212" s="331"/>
      <c r="M212" s="304"/>
      <c r="N212" s="329"/>
      <c r="O212" s="330"/>
      <c r="P212" s="330"/>
      <c r="Q212" s="331"/>
      <c r="R212" s="304"/>
      <c r="S212" s="364"/>
      <c r="T212" s="364"/>
      <c r="U212" s="365"/>
      <c r="V212" s="365"/>
      <c r="W212" s="304"/>
      <c r="X212" s="344"/>
      <c r="Y212" s="344"/>
      <c r="Z212" s="365"/>
      <c r="AA212" s="365"/>
      <c r="AB212" s="265"/>
      <c r="AC212" s="449"/>
    </row>
    <row r="213" spans="1:29" s="199" customFormat="1" ht="13.5" customHeight="1">
      <c r="A213" s="503"/>
      <c r="B213" s="265"/>
      <c r="C213" s="265"/>
      <c r="D213" s="742"/>
      <c r="E213" s="743"/>
      <c r="F213" s="743"/>
      <c r="G213" s="744"/>
      <c r="H213" s="304"/>
      <c r="I213" s="742"/>
      <c r="J213" s="743"/>
      <c r="K213" s="743"/>
      <c r="L213" s="744"/>
      <c r="M213" s="304"/>
      <c r="N213" s="742"/>
      <c r="O213" s="743"/>
      <c r="P213" s="743"/>
      <c r="Q213" s="744"/>
      <c r="R213" s="304"/>
      <c r="S213" s="364"/>
      <c r="T213" s="364"/>
      <c r="U213" s="365"/>
      <c r="V213" s="365"/>
      <c r="W213" s="304"/>
      <c r="X213" s="344"/>
      <c r="Y213" s="344"/>
      <c r="Z213" s="365"/>
      <c r="AA213" s="365"/>
      <c r="AB213" s="265"/>
      <c r="AC213" s="449"/>
    </row>
    <row r="214" spans="1:29" s="199" customFormat="1" ht="13.5" customHeight="1">
      <c r="A214" s="503"/>
      <c r="B214" s="265"/>
      <c r="C214" s="265"/>
      <c r="D214" s="745"/>
      <c r="E214" s="746"/>
      <c r="F214" s="746"/>
      <c r="G214" s="747"/>
      <c r="H214" s="304"/>
      <c r="I214" s="745"/>
      <c r="J214" s="746"/>
      <c r="K214" s="746"/>
      <c r="L214" s="747"/>
      <c r="M214" s="304"/>
      <c r="N214" s="745"/>
      <c r="O214" s="746"/>
      <c r="P214" s="746"/>
      <c r="Q214" s="747"/>
      <c r="R214" s="304"/>
      <c r="S214" s="364"/>
      <c r="T214" s="364"/>
      <c r="U214" s="365"/>
      <c r="V214" s="365"/>
      <c r="W214" s="304"/>
      <c r="X214" s="344"/>
      <c r="Y214" s="344"/>
      <c r="Z214" s="365"/>
      <c r="AA214" s="365"/>
      <c r="AB214" s="265"/>
      <c r="AC214" s="449"/>
    </row>
    <row r="215" spans="1:29" s="199" customFormat="1" ht="13.5" customHeight="1">
      <c r="A215" s="503"/>
      <c r="B215" s="265"/>
      <c r="C215" s="265"/>
      <c r="D215" s="782" t="s">
        <v>559</v>
      </c>
      <c r="E215" s="783"/>
      <c r="F215" s="783"/>
      <c r="G215" s="784"/>
      <c r="H215" s="304"/>
      <c r="I215" s="782" t="s">
        <v>539</v>
      </c>
      <c r="J215" s="783"/>
      <c r="K215" s="783"/>
      <c r="L215" s="784"/>
      <c r="M215" s="304"/>
      <c r="N215" s="782" t="s">
        <v>362</v>
      </c>
      <c r="O215" s="783"/>
      <c r="P215" s="783"/>
      <c r="Q215" s="784"/>
      <c r="R215" s="304"/>
      <c r="S215" s="364"/>
      <c r="T215" s="364"/>
      <c r="U215" s="365"/>
      <c r="V215" s="365"/>
      <c r="W215" s="304"/>
      <c r="X215" s="344"/>
      <c r="Y215" s="344"/>
      <c r="Z215" s="365"/>
      <c r="AA215" s="365"/>
      <c r="AB215" s="265"/>
      <c r="AC215" s="449"/>
    </row>
    <row r="216" spans="1:29" s="298" customFormat="1" ht="13.5" customHeight="1">
      <c r="A216" s="506"/>
      <c r="B216" s="271"/>
      <c r="C216" s="271"/>
      <c r="D216" s="816" t="s">
        <v>462</v>
      </c>
      <c r="E216" s="816"/>
      <c r="F216" s="817"/>
      <c r="G216" s="817"/>
      <c r="H216" s="359"/>
      <c r="I216" s="816" t="s">
        <v>540</v>
      </c>
      <c r="J216" s="816"/>
      <c r="K216" s="817"/>
      <c r="L216" s="817"/>
      <c r="M216" s="359"/>
      <c r="N216" s="799" t="s">
        <v>481</v>
      </c>
      <c r="O216" s="800"/>
      <c r="P216" s="800"/>
      <c r="Q216" s="801"/>
      <c r="R216" s="359"/>
      <c r="S216" s="364"/>
      <c r="T216" s="364"/>
      <c r="U216" s="365"/>
      <c r="V216" s="365"/>
      <c r="W216" s="359"/>
      <c r="X216" s="344"/>
      <c r="Y216" s="344"/>
      <c r="Z216" s="365"/>
      <c r="AA216" s="365"/>
      <c r="AB216" s="271"/>
      <c r="AC216" s="452"/>
    </row>
    <row r="217" spans="1:29" s="298" customFormat="1" ht="13.5" customHeight="1">
      <c r="A217" s="506"/>
      <c r="B217" s="271"/>
      <c r="C217" s="271"/>
      <c r="D217" s="774" t="s">
        <v>339</v>
      </c>
      <c r="E217" s="775"/>
      <c r="F217" s="775"/>
      <c r="G217" s="776"/>
      <c r="H217" s="359"/>
      <c r="I217" s="774" t="s">
        <v>541</v>
      </c>
      <c r="J217" s="775"/>
      <c r="K217" s="775"/>
      <c r="L217" s="776"/>
      <c r="M217" s="359"/>
      <c r="N217" s="774" t="s">
        <v>22</v>
      </c>
      <c r="O217" s="775"/>
      <c r="P217" s="775"/>
      <c r="Q217" s="776"/>
      <c r="R217" s="359"/>
      <c r="S217" s="364"/>
      <c r="T217" s="364"/>
      <c r="U217" s="365"/>
      <c r="V217" s="365"/>
      <c r="W217" s="359"/>
      <c r="X217" s="344"/>
      <c r="Y217" s="344"/>
      <c r="Z217" s="365"/>
      <c r="AA217" s="365"/>
      <c r="AB217" s="271"/>
      <c r="AC217" s="452"/>
    </row>
    <row r="218" spans="1:29" s="199" customFormat="1" ht="16.149999999999999" customHeight="1" thickBot="1">
      <c r="A218" s="503"/>
      <c r="B218" s="265"/>
      <c r="C218" s="265"/>
      <c r="D218" s="759">
        <f>I182+N182+D343+I343</f>
        <v>1.6300000000000001</v>
      </c>
      <c r="E218" s="760"/>
      <c r="F218" s="752">
        <v>0</v>
      </c>
      <c r="G218" s="753"/>
      <c r="H218" s="304"/>
      <c r="I218" s="759">
        <f>(S182*2)+(X230*2)+D343+I343</f>
        <v>2.63</v>
      </c>
      <c r="J218" s="760"/>
      <c r="K218" s="752">
        <v>0</v>
      </c>
      <c r="L218" s="753"/>
      <c r="M218" s="304"/>
      <c r="N218" s="759">
        <f>(X182*2)+(D343*2)+(I343*2)</f>
        <v>2.2600000000000002</v>
      </c>
      <c r="O218" s="760"/>
      <c r="P218" s="752">
        <v>0</v>
      </c>
      <c r="Q218" s="753"/>
      <c r="R218" s="304"/>
      <c r="S218" s="364"/>
      <c r="T218" s="364"/>
      <c r="U218" s="365"/>
      <c r="V218" s="365"/>
      <c r="W218" s="304"/>
      <c r="X218" s="344"/>
      <c r="Y218" s="344"/>
      <c r="Z218" s="365"/>
      <c r="AA218" s="365"/>
      <c r="AB218" s="265"/>
      <c r="AC218" s="449"/>
    </row>
    <row r="219" spans="1:29" s="188" customFormat="1" ht="27" customHeight="1">
      <c r="A219" s="265"/>
      <c r="B219" s="265"/>
      <c r="C219" s="265"/>
      <c r="D219" s="513"/>
      <c r="E219" s="513"/>
      <c r="F219" s="484"/>
      <c r="G219" s="484"/>
      <c r="H219" s="301"/>
      <c r="I219" s="513"/>
      <c r="J219" s="513"/>
      <c r="K219" s="484"/>
      <c r="L219" s="484"/>
      <c r="M219" s="301"/>
      <c r="N219" s="513"/>
      <c r="O219" s="513"/>
      <c r="P219" s="484"/>
      <c r="Q219" s="484"/>
      <c r="R219" s="301"/>
      <c r="S219" s="513"/>
      <c r="T219" s="513"/>
      <c r="U219" s="484"/>
      <c r="V219" s="484"/>
      <c r="W219" s="301"/>
      <c r="X219" s="513"/>
      <c r="Y219" s="513"/>
      <c r="Z219" s="484"/>
      <c r="AA219" s="484"/>
      <c r="AB219" s="265"/>
      <c r="AC219" s="206"/>
    </row>
    <row r="220" spans="1:29" s="288" customFormat="1" ht="27" customHeight="1">
      <c r="A220" s="507"/>
      <c r="B220" s="461"/>
      <c r="C220" s="461"/>
      <c r="D220" s="730" t="s">
        <v>8</v>
      </c>
      <c r="E220" s="730"/>
      <c r="F220" s="730"/>
      <c r="G220" s="730"/>
      <c r="H220" s="730"/>
      <c r="I220" s="730"/>
      <c r="J220" s="730"/>
      <c r="K220" s="730"/>
      <c r="L220" s="730"/>
      <c r="M220" s="730"/>
      <c r="N220" s="730"/>
      <c r="O220" s="730"/>
      <c r="P220" s="730"/>
      <c r="Q220" s="730"/>
      <c r="R220" s="730"/>
      <c r="S220" s="730"/>
      <c r="T220" s="730"/>
      <c r="U220" s="730"/>
      <c r="V220" s="730"/>
      <c r="W220" s="730"/>
      <c r="X220" s="730"/>
      <c r="Y220" s="730"/>
      <c r="Z220" s="730"/>
      <c r="AA220" s="730"/>
      <c r="AB220" s="461"/>
      <c r="AC220" s="453"/>
    </row>
    <row r="221" spans="1:29" s="190" customFormat="1" ht="27" customHeight="1">
      <c r="A221" s="497"/>
      <c r="B221" s="269"/>
      <c r="C221" s="269"/>
      <c r="D221" s="469"/>
      <c r="E221" s="469"/>
      <c r="F221" s="469"/>
      <c r="G221" s="469"/>
      <c r="H221" s="319"/>
      <c r="I221" s="319"/>
      <c r="J221" s="319"/>
      <c r="K221" s="319"/>
      <c r="L221" s="319"/>
      <c r="M221" s="319"/>
      <c r="N221" s="319"/>
      <c r="O221" s="319"/>
      <c r="P221" s="319"/>
      <c r="Q221" s="319"/>
      <c r="R221" s="319"/>
      <c r="S221" s="469"/>
      <c r="T221" s="469"/>
      <c r="U221" s="469"/>
      <c r="V221" s="469"/>
      <c r="W221" s="319"/>
      <c r="X221" s="469"/>
      <c r="Y221" s="469"/>
      <c r="Z221" s="469"/>
      <c r="AA221" s="469"/>
      <c r="AB221" s="269"/>
      <c r="AC221" s="445"/>
    </row>
    <row r="222" spans="1:29" ht="12.75" customHeight="1">
      <c r="A222" s="496"/>
      <c r="B222" s="894" t="s">
        <v>179</v>
      </c>
      <c r="C222" s="470"/>
      <c r="D222" s="762"/>
      <c r="E222" s="762"/>
      <c r="F222" s="762"/>
      <c r="G222" s="762"/>
      <c r="H222" s="366"/>
      <c r="I222" s="766"/>
      <c r="J222" s="767"/>
      <c r="K222" s="767"/>
      <c r="L222" s="768"/>
      <c r="M222" s="304"/>
      <c r="N222" s="739"/>
      <c r="O222" s="740"/>
      <c r="P222" s="740"/>
      <c r="Q222" s="740"/>
      <c r="R222" s="366"/>
      <c r="S222" s="743"/>
      <c r="T222" s="743"/>
      <c r="U222" s="743"/>
      <c r="V222" s="743"/>
      <c r="W222" s="366"/>
      <c r="X222" s="743"/>
      <c r="Y222" s="743"/>
      <c r="Z222" s="743"/>
      <c r="AA222" s="743"/>
      <c r="AB222" s="523"/>
    </row>
    <row r="223" spans="1:29" ht="14.25">
      <c r="A223" s="496"/>
      <c r="B223" s="894"/>
      <c r="C223" s="470"/>
      <c r="D223" s="762"/>
      <c r="E223" s="762"/>
      <c r="F223" s="762"/>
      <c r="G223" s="762"/>
      <c r="H223" s="366"/>
      <c r="I223" s="761"/>
      <c r="J223" s="762"/>
      <c r="K223" s="762"/>
      <c r="L223" s="763"/>
      <c r="M223" s="304"/>
      <c r="N223" s="742"/>
      <c r="O223" s="743"/>
      <c r="P223" s="743"/>
      <c r="Q223" s="743"/>
      <c r="R223" s="366"/>
      <c r="S223" s="743"/>
      <c r="T223" s="743"/>
      <c r="U223" s="743"/>
      <c r="V223" s="743"/>
      <c r="W223" s="366"/>
      <c r="X223" s="743"/>
      <c r="Y223" s="743"/>
      <c r="Z223" s="743"/>
      <c r="AA223" s="743"/>
      <c r="AB223" s="523"/>
    </row>
    <row r="224" spans="1:29" ht="14.25">
      <c r="A224" s="496"/>
      <c r="B224" s="894"/>
      <c r="C224" s="470"/>
      <c r="D224" s="483"/>
      <c r="E224" s="483"/>
      <c r="F224" s="483"/>
      <c r="G224" s="483"/>
      <c r="H224" s="366"/>
      <c r="I224" s="347"/>
      <c r="J224" s="348"/>
      <c r="K224" s="348"/>
      <c r="L224" s="349"/>
      <c r="M224" s="304"/>
      <c r="N224" s="329"/>
      <c r="O224" s="330"/>
      <c r="P224" s="330"/>
      <c r="Q224" s="428"/>
      <c r="R224" s="366"/>
      <c r="S224" s="428"/>
      <c r="T224" s="330"/>
      <c r="U224" s="330"/>
      <c r="V224" s="428"/>
      <c r="W224" s="366"/>
      <c r="X224" s="428"/>
      <c r="Y224" s="330"/>
      <c r="Z224" s="330"/>
      <c r="AA224" s="428"/>
      <c r="AB224" s="523"/>
    </row>
    <row r="225" spans="1:29" ht="14.25">
      <c r="A225" s="496"/>
      <c r="B225" s="894"/>
      <c r="C225" s="470"/>
      <c r="D225" s="762"/>
      <c r="E225" s="762"/>
      <c r="F225" s="762"/>
      <c r="G225" s="762"/>
      <c r="H225" s="366"/>
      <c r="I225" s="761"/>
      <c r="J225" s="762"/>
      <c r="K225" s="762"/>
      <c r="L225" s="763"/>
      <c r="M225" s="304"/>
      <c r="N225" s="742"/>
      <c r="O225" s="743"/>
      <c r="P225" s="743"/>
      <c r="Q225" s="743"/>
      <c r="R225" s="366"/>
      <c r="S225" s="743"/>
      <c r="T225" s="743"/>
      <c r="U225" s="743"/>
      <c r="V225" s="743"/>
      <c r="W225" s="366"/>
      <c r="X225" s="743"/>
      <c r="Y225" s="743"/>
      <c r="Z225" s="743"/>
      <c r="AA225" s="743"/>
      <c r="AB225" s="523"/>
    </row>
    <row r="226" spans="1:29" ht="14.25">
      <c r="A226" s="496"/>
      <c r="B226" s="894"/>
      <c r="C226" s="470"/>
      <c r="D226" s="762"/>
      <c r="E226" s="762"/>
      <c r="F226" s="762"/>
      <c r="G226" s="762"/>
      <c r="H226" s="366"/>
      <c r="I226" s="761"/>
      <c r="J226" s="762"/>
      <c r="K226" s="762"/>
      <c r="L226" s="763"/>
      <c r="M226" s="304"/>
      <c r="N226" s="742"/>
      <c r="O226" s="743"/>
      <c r="P226" s="743"/>
      <c r="Q226" s="743"/>
      <c r="R226" s="366"/>
      <c r="S226" s="743"/>
      <c r="T226" s="743"/>
      <c r="U226" s="743"/>
      <c r="V226" s="743"/>
      <c r="W226" s="366"/>
      <c r="X226" s="743"/>
      <c r="Y226" s="743"/>
      <c r="Z226" s="743"/>
      <c r="AA226" s="743"/>
      <c r="AB226" s="523"/>
    </row>
    <row r="227" spans="1:29" ht="14.25">
      <c r="A227" s="496"/>
      <c r="B227" s="894"/>
      <c r="C227" s="470"/>
      <c r="D227" s="891"/>
      <c r="E227" s="892"/>
      <c r="F227" s="892"/>
      <c r="G227" s="893"/>
      <c r="H227" s="366"/>
      <c r="I227" s="891"/>
      <c r="J227" s="892"/>
      <c r="K227" s="892"/>
      <c r="L227" s="893"/>
      <c r="M227" s="304"/>
      <c r="N227" s="745"/>
      <c r="O227" s="746"/>
      <c r="P227" s="746"/>
      <c r="Q227" s="746"/>
      <c r="R227" s="366"/>
      <c r="S227" s="743"/>
      <c r="T227" s="743"/>
      <c r="U227" s="743"/>
      <c r="V227" s="743"/>
      <c r="W227" s="366"/>
      <c r="X227" s="743"/>
      <c r="Y227" s="743"/>
      <c r="Z227" s="743"/>
      <c r="AA227" s="743"/>
      <c r="AB227" s="523"/>
    </row>
    <row r="228" spans="1:29" ht="15">
      <c r="A228" s="496"/>
      <c r="B228" s="894"/>
      <c r="C228" s="289"/>
      <c r="D228" s="831" t="s">
        <v>246</v>
      </c>
      <c r="E228" s="832"/>
      <c r="F228" s="832"/>
      <c r="G228" s="833"/>
      <c r="H228" s="304"/>
      <c r="I228" s="794" t="s">
        <v>489</v>
      </c>
      <c r="J228" s="795"/>
      <c r="K228" s="795"/>
      <c r="L228" s="796"/>
      <c r="M228" s="304"/>
      <c r="N228" s="794" t="s">
        <v>230</v>
      </c>
      <c r="O228" s="795"/>
      <c r="P228" s="795"/>
      <c r="Q228" s="796"/>
      <c r="R228" s="304"/>
      <c r="S228" s="782" t="s">
        <v>524</v>
      </c>
      <c r="T228" s="783"/>
      <c r="U228" s="783"/>
      <c r="V228" s="784"/>
      <c r="W228" s="304"/>
      <c r="X228" s="782" t="s">
        <v>233</v>
      </c>
      <c r="Y228" s="783"/>
      <c r="Z228" s="783"/>
      <c r="AA228" s="784"/>
      <c r="AB228" s="265"/>
    </row>
    <row r="229" spans="1:29" s="201" customFormat="1" ht="27" customHeight="1" thickBot="1">
      <c r="A229" s="508"/>
      <c r="B229" s="894"/>
      <c r="C229" s="289"/>
      <c r="D229" s="968" t="s">
        <v>263</v>
      </c>
      <c r="E229" s="969"/>
      <c r="F229" s="969"/>
      <c r="G229" s="970"/>
      <c r="H229" s="320"/>
      <c r="I229" s="968" t="s">
        <v>490</v>
      </c>
      <c r="J229" s="969"/>
      <c r="K229" s="969"/>
      <c r="L229" s="970"/>
      <c r="M229" s="320"/>
      <c r="N229" s="968" t="s">
        <v>313</v>
      </c>
      <c r="O229" s="969"/>
      <c r="P229" s="969"/>
      <c r="Q229" s="970"/>
      <c r="R229" s="320"/>
      <c r="S229" s="968" t="s">
        <v>525</v>
      </c>
      <c r="T229" s="969"/>
      <c r="U229" s="969"/>
      <c r="V229" s="970"/>
      <c r="W229" s="320"/>
      <c r="X229" s="968" t="s">
        <v>312</v>
      </c>
      <c r="Y229" s="969"/>
      <c r="Z229" s="969"/>
      <c r="AA229" s="970"/>
      <c r="AB229" s="270"/>
      <c r="AC229" s="454"/>
    </row>
    <row r="230" spans="1:29" ht="16.149999999999999" customHeight="1" thickBot="1">
      <c r="A230" s="496"/>
      <c r="B230" s="894"/>
      <c r="C230" s="289"/>
      <c r="D230" s="913">
        <v>0.11</v>
      </c>
      <c r="E230" s="854"/>
      <c r="F230" s="855">
        <v>0</v>
      </c>
      <c r="G230" s="856"/>
      <c r="H230" s="366"/>
      <c r="I230" s="971">
        <v>0.11</v>
      </c>
      <c r="J230" s="972"/>
      <c r="K230" s="991">
        <v>0</v>
      </c>
      <c r="L230" s="1054"/>
      <c r="M230" s="366"/>
      <c r="N230" s="971">
        <v>1.1499999999999999</v>
      </c>
      <c r="O230" s="972"/>
      <c r="P230" s="991">
        <v>0</v>
      </c>
      <c r="Q230" s="1054"/>
      <c r="R230" s="366"/>
      <c r="S230" s="853">
        <v>1.1499999999999999</v>
      </c>
      <c r="T230" s="854"/>
      <c r="U230" s="855">
        <v>0</v>
      </c>
      <c r="V230" s="856"/>
      <c r="W230" s="366"/>
      <c r="X230" s="853">
        <v>0.25</v>
      </c>
      <c r="Y230" s="854"/>
      <c r="Z230" s="855">
        <v>0</v>
      </c>
      <c r="AA230" s="883"/>
      <c r="AB230" s="265"/>
    </row>
    <row r="231" spans="1:29" s="631" customFormat="1" ht="16.149999999999999" customHeight="1">
      <c r="A231" s="624"/>
      <c r="B231" s="894"/>
      <c r="C231" s="289"/>
      <c r="D231" s="638">
        <f>D230*G231</f>
        <v>44</v>
      </c>
      <c r="E231" s="639"/>
      <c r="F231" s="640" t="s">
        <v>333</v>
      </c>
      <c r="G231" s="641">
        <v>400</v>
      </c>
      <c r="H231" s="642"/>
      <c r="I231" s="643">
        <f>I230*L231</f>
        <v>44</v>
      </c>
      <c r="J231" s="639"/>
      <c r="K231" s="640" t="s">
        <v>333</v>
      </c>
      <c r="L231" s="641">
        <v>400</v>
      </c>
      <c r="M231" s="642"/>
      <c r="N231" s="643">
        <f>N230*Q231</f>
        <v>114.99999999999999</v>
      </c>
      <c r="O231" s="639"/>
      <c r="P231" s="640" t="s">
        <v>333</v>
      </c>
      <c r="Q231" s="641">
        <v>100</v>
      </c>
      <c r="R231" s="642"/>
      <c r="S231" s="643">
        <f>S230*V231</f>
        <v>114.99999999999999</v>
      </c>
      <c r="T231" s="639"/>
      <c r="U231" s="640" t="s">
        <v>333</v>
      </c>
      <c r="V231" s="641">
        <v>100</v>
      </c>
      <c r="W231" s="642"/>
      <c r="X231" s="643">
        <f>X230*AA231</f>
        <v>37.5</v>
      </c>
      <c r="Y231" s="639"/>
      <c r="Z231" s="640" t="s">
        <v>333</v>
      </c>
      <c r="AA231" s="641">
        <v>150</v>
      </c>
      <c r="AB231" s="647"/>
      <c r="AC231" s="630"/>
    </row>
    <row r="232" spans="1:29" s="199" customFormat="1" ht="10.15" customHeight="1">
      <c r="A232" s="503"/>
      <c r="B232" s="276"/>
      <c r="C232" s="276"/>
      <c r="D232" s="466"/>
      <c r="E232" s="466"/>
      <c r="F232" s="467"/>
      <c r="G232" s="468"/>
      <c r="H232" s="304"/>
      <c r="I232" s="466"/>
      <c r="J232" s="466"/>
      <c r="K232" s="467"/>
      <c r="L232" s="468"/>
      <c r="M232" s="304"/>
      <c r="N232" s="466"/>
      <c r="O232" s="466"/>
      <c r="P232" s="467"/>
      <c r="Q232" s="468"/>
      <c r="R232" s="304"/>
      <c r="S232" s="466"/>
      <c r="T232" s="466"/>
      <c r="U232" s="467"/>
      <c r="V232" s="468"/>
      <c r="W232" s="304"/>
      <c r="X232" s="466"/>
      <c r="Y232" s="466"/>
      <c r="Z232" s="467"/>
      <c r="AA232" s="468"/>
      <c r="AB232" s="266"/>
      <c r="AC232" s="449"/>
    </row>
    <row r="233" spans="1:29" ht="12.75" customHeight="1">
      <c r="A233" s="496"/>
      <c r="B233" s="894" t="s">
        <v>314</v>
      </c>
      <c r="C233" s="289"/>
      <c r="D233" s="857"/>
      <c r="E233" s="743"/>
      <c r="F233" s="743"/>
      <c r="G233" s="743"/>
      <c r="H233" s="366"/>
      <c r="I233" s="743"/>
      <c r="J233" s="743"/>
      <c r="K233" s="743"/>
      <c r="L233" s="743"/>
      <c r="M233" s="366"/>
      <c r="N233" s="743"/>
      <c r="O233" s="743"/>
      <c r="P233" s="743"/>
      <c r="Q233" s="743"/>
      <c r="R233" s="366"/>
      <c r="S233" s="762"/>
      <c r="T233" s="762"/>
      <c r="U233" s="762"/>
      <c r="V233" s="762"/>
      <c r="W233" s="366"/>
      <c r="X233" s="762"/>
      <c r="Y233" s="762"/>
      <c r="Z233" s="762"/>
      <c r="AA233" s="762"/>
      <c r="AB233" s="523"/>
    </row>
    <row r="234" spans="1:29" ht="14.25">
      <c r="A234" s="496"/>
      <c r="B234" s="894"/>
      <c r="C234" s="289"/>
      <c r="D234" s="857"/>
      <c r="E234" s="743"/>
      <c r="F234" s="743"/>
      <c r="G234" s="743"/>
      <c r="H234" s="366"/>
      <c r="I234" s="743"/>
      <c r="J234" s="743"/>
      <c r="K234" s="743"/>
      <c r="L234" s="743"/>
      <c r="M234" s="366"/>
      <c r="N234" s="743"/>
      <c r="O234" s="743"/>
      <c r="P234" s="743"/>
      <c r="Q234" s="743"/>
      <c r="R234" s="366"/>
      <c r="S234" s="805"/>
      <c r="T234" s="994"/>
      <c r="U234" s="994"/>
      <c r="V234" s="805"/>
      <c r="W234" s="366"/>
      <c r="X234" s="805"/>
      <c r="Y234" s="994"/>
      <c r="Z234" s="994"/>
      <c r="AA234" s="805"/>
      <c r="AB234" s="523"/>
    </row>
    <row r="235" spans="1:29" ht="14.25">
      <c r="A235" s="496"/>
      <c r="B235" s="894"/>
      <c r="C235" s="289"/>
      <c r="D235" s="357"/>
      <c r="E235" s="330"/>
      <c r="F235" s="330"/>
      <c r="G235" s="428"/>
      <c r="H235" s="366"/>
      <c r="I235" s="428"/>
      <c r="J235" s="330"/>
      <c r="K235" s="330"/>
      <c r="L235" s="428"/>
      <c r="M235" s="366"/>
      <c r="N235" s="428"/>
      <c r="O235" s="330"/>
      <c r="P235" s="330"/>
      <c r="Q235" s="428"/>
      <c r="R235" s="366"/>
      <c r="S235" s="805"/>
      <c r="T235" s="994"/>
      <c r="U235" s="994"/>
      <c r="V235" s="805"/>
      <c r="W235" s="366"/>
      <c r="X235" s="805"/>
      <c r="Y235" s="994"/>
      <c r="Z235" s="994"/>
      <c r="AA235" s="805"/>
      <c r="AB235" s="523"/>
    </row>
    <row r="236" spans="1:29" ht="14.25">
      <c r="A236" s="496"/>
      <c r="B236" s="894"/>
      <c r="C236" s="289"/>
      <c r="D236" s="857"/>
      <c r="E236" s="743"/>
      <c r="F236" s="743"/>
      <c r="G236" s="743"/>
      <c r="H236" s="366"/>
      <c r="I236" s="743"/>
      <c r="J236" s="743"/>
      <c r="K236" s="743"/>
      <c r="L236" s="743"/>
      <c r="M236" s="366"/>
      <c r="N236" s="743"/>
      <c r="O236" s="743"/>
      <c r="P236" s="743"/>
      <c r="Q236" s="743"/>
      <c r="R236" s="366"/>
      <c r="S236" s="805"/>
      <c r="T236" s="994"/>
      <c r="U236" s="994"/>
      <c r="V236" s="805"/>
      <c r="W236" s="366"/>
      <c r="X236" s="805"/>
      <c r="Y236" s="994"/>
      <c r="Z236" s="994"/>
      <c r="AA236" s="805"/>
      <c r="AB236" s="523"/>
    </row>
    <row r="237" spans="1:29" ht="14.25">
      <c r="A237" s="496"/>
      <c r="B237" s="894"/>
      <c r="C237" s="289"/>
      <c r="D237" s="857"/>
      <c r="E237" s="743"/>
      <c r="F237" s="743"/>
      <c r="G237" s="743"/>
      <c r="H237" s="366"/>
      <c r="I237" s="743"/>
      <c r="J237" s="743"/>
      <c r="K237" s="743"/>
      <c r="L237" s="743"/>
      <c r="M237" s="366"/>
      <c r="N237" s="743"/>
      <c r="O237" s="743"/>
      <c r="P237" s="743"/>
      <c r="Q237" s="743"/>
      <c r="R237" s="366"/>
      <c r="S237" s="805"/>
      <c r="T237" s="994"/>
      <c r="U237" s="994"/>
      <c r="V237" s="805"/>
      <c r="W237" s="366"/>
      <c r="X237" s="805"/>
      <c r="Y237" s="994"/>
      <c r="Z237" s="994"/>
      <c r="AA237" s="805"/>
      <c r="AB237" s="523"/>
    </row>
    <row r="238" spans="1:29" ht="14.25">
      <c r="A238" s="496"/>
      <c r="B238" s="894"/>
      <c r="C238" s="289"/>
      <c r="D238" s="857"/>
      <c r="E238" s="743"/>
      <c r="F238" s="743"/>
      <c r="G238" s="743"/>
      <c r="H238" s="366"/>
      <c r="I238" s="743"/>
      <c r="J238" s="743"/>
      <c r="K238" s="743"/>
      <c r="L238" s="743"/>
      <c r="M238" s="366"/>
      <c r="N238" s="743"/>
      <c r="O238" s="743"/>
      <c r="P238" s="743"/>
      <c r="Q238" s="743"/>
      <c r="R238" s="366"/>
      <c r="S238" s="805"/>
      <c r="T238" s="805"/>
      <c r="U238" s="805"/>
      <c r="V238" s="805"/>
      <c r="W238" s="366"/>
      <c r="X238" s="805"/>
      <c r="Y238" s="805"/>
      <c r="Z238" s="805"/>
      <c r="AA238" s="805"/>
      <c r="AB238" s="523"/>
    </row>
    <row r="239" spans="1:29" ht="15">
      <c r="A239" s="496"/>
      <c r="B239" s="894"/>
      <c r="C239" s="289"/>
      <c r="D239" s="782" t="s">
        <v>231</v>
      </c>
      <c r="E239" s="783"/>
      <c r="F239" s="783"/>
      <c r="G239" s="784"/>
      <c r="H239" s="304"/>
      <c r="I239" s="782" t="s">
        <v>232</v>
      </c>
      <c r="J239" s="783"/>
      <c r="K239" s="783"/>
      <c r="L239" s="784"/>
      <c r="M239" s="304"/>
      <c r="N239" s="782" t="s">
        <v>194</v>
      </c>
      <c r="O239" s="783"/>
      <c r="P239" s="783"/>
      <c r="Q239" s="784"/>
      <c r="R239" s="304"/>
      <c r="S239" s="782" t="s">
        <v>527</v>
      </c>
      <c r="T239" s="783"/>
      <c r="U239" s="783"/>
      <c r="V239" s="784"/>
      <c r="W239" s="304"/>
      <c r="X239" s="782" t="s">
        <v>547</v>
      </c>
      <c r="Y239" s="783"/>
      <c r="Z239" s="783"/>
      <c r="AA239" s="784"/>
      <c r="AB239" s="265"/>
    </row>
    <row r="240" spans="1:29" s="201" customFormat="1" ht="27" customHeight="1" thickBot="1">
      <c r="A240" s="508"/>
      <c r="B240" s="894"/>
      <c r="C240" s="289"/>
      <c r="D240" s="1056" t="s">
        <v>181</v>
      </c>
      <c r="E240" s="969"/>
      <c r="F240" s="969"/>
      <c r="G240" s="970"/>
      <c r="H240" s="320"/>
      <c r="I240" s="968" t="s">
        <v>180</v>
      </c>
      <c r="J240" s="969"/>
      <c r="K240" s="969"/>
      <c r="L240" s="970"/>
      <c r="M240" s="320"/>
      <c r="N240" s="968" t="s">
        <v>315</v>
      </c>
      <c r="O240" s="969"/>
      <c r="P240" s="969"/>
      <c r="Q240" s="970"/>
      <c r="R240" s="320"/>
      <c r="S240" s="968" t="s">
        <v>526</v>
      </c>
      <c r="T240" s="969"/>
      <c r="U240" s="969"/>
      <c r="V240" s="970"/>
      <c r="W240" s="320"/>
      <c r="X240" s="968" t="s">
        <v>548</v>
      </c>
      <c r="Y240" s="969"/>
      <c r="Z240" s="969"/>
      <c r="AA240" s="970"/>
      <c r="AB240" s="270"/>
      <c r="AC240" s="454"/>
    </row>
    <row r="241" spans="1:29" ht="16.149999999999999" customHeight="1" thickBot="1">
      <c r="A241" s="496"/>
      <c r="B241" s="894"/>
      <c r="C241" s="289"/>
      <c r="D241" s="911">
        <v>2.25</v>
      </c>
      <c r="E241" s="912"/>
      <c r="F241" s="855">
        <v>0</v>
      </c>
      <c r="G241" s="856"/>
      <c r="H241" s="366"/>
      <c r="I241" s="943">
        <v>2.25</v>
      </c>
      <c r="J241" s="944"/>
      <c r="K241" s="855">
        <v>0</v>
      </c>
      <c r="L241" s="856"/>
      <c r="M241" s="366"/>
      <c r="N241" s="943">
        <v>0.5</v>
      </c>
      <c r="O241" s="944"/>
      <c r="P241" s="855">
        <v>0</v>
      </c>
      <c r="Q241" s="856"/>
      <c r="R241" s="366"/>
      <c r="S241" s="853">
        <v>3.3</v>
      </c>
      <c r="T241" s="854"/>
      <c r="U241" s="855">
        <v>0</v>
      </c>
      <c r="V241" s="856"/>
      <c r="W241" s="366"/>
      <c r="X241" s="853">
        <v>4</v>
      </c>
      <c r="Y241" s="854"/>
      <c r="Z241" s="855">
        <v>0</v>
      </c>
      <c r="AA241" s="883"/>
      <c r="AB241" s="265"/>
    </row>
    <row r="242" spans="1:29" s="631" customFormat="1" ht="16.149999999999999" customHeight="1">
      <c r="A242" s="624"/>
      <c r="B242" s="894"/>
      <c r="C242" s="289"/>
      <c r="D242" s="638">
        <f>D241*G242</f>
        <v>225</v>
      </c>
      <c r="E242" s="639"/>
      <c r="F242" s="640" t="s">
        <v>333</v>
      </c>
      <c r="G242" s="641">
        <v>100</v>
      </c>
      <c r="H242" s="642"/>
      <c r="I242" s="643">
        <f>I241*L242</f>
        <v>225</v>
      </c>
      <c r="J242" s="644"/>
      <c r="K242" s="645" t="s">
        <v>333</v>
      </c>
      <c r="L242" s="646">
        <v>100</v>
      </c>
      <c r="M242" s="642"/>
      <c r="N242" s="643">
        <f>N241*Q242</f>
        <v>50</v>
      </c>
      <c r="O242" s="639"/>
      <c r="P242" s="640" t="s">
        <v>333</v>
      </c>
      <c r="Q242" s="641">
        <v>100</v>
      </c>
      <c r="R242" s="642"/>
      <c r="S242" s="643">
        <f>S241*V242</f>
        <v>49.5</v>
      </c>
      <c r="T242" s="639"/>
      <c r="U242" s="640" t="s">
        <v>333</v>
      </c>
      <c r="V242" s="641">
        <v>15</v>
      </c>
      <c r="W242" s="642"/>
      <c r="X242" s="643">
        <f>X241*AA242</f>
        <v>24</v>
      </c>
      <c r="Y242" s="639"/>
      <c r="Z242" s="640" t="s">
        <v>333</v>
      </c>
      <c r="AA242" s="641">
        <v>6</v>
      </c>
      <c r="AB242" s="647"/>
      <c r="AC242" s="630"/>
    </row>
    <row r="243" spans="1:29" s="199" customFormat="1" ht="10.15" customHeight="1">
      <c r="A243" s="503"/>
      <c r="B243" s="266"/>
      <c r="C243" s="266"/>
      <c r="D243" s="463"/>
      <c r="E243" s="463"/>
      <c r="F243" s="464"/>
      <c r="G243" s="465"/>
      <c r="H243" s="304"/>
      <c r="I243" s="463"/>
      <c r="J243" s="463"/>
      <c r="K243" s="464"/>
      <c r="L243" s="465"/>
      <c r="M243" s="304"/>
      <c r="N243" s="463"/>
      <c r="O243" s="463"/>
      <c r="P243" s="464"/>
      <c r="Q243" s="465"/>
      <c r="R243" s="304"/>
      <c r="S243" s="463"/>
      <c r="T243" s="463"/>
      <c r="U243" s="464"/>
      <c r="V243" s="465"/>
      <c r="W243" s="304"/>
      <c r="X243" s="463"/>
      <c r="Y243" s="463"/>
      <c r="Z243" s="464"/>
      <c r="AA243" s="465"/>
      <c r="AB243" s="266"/>
      <c r="AC243" s="449"/>
    </row>
    <row r="244" spans="1:29" ht="12.75" customHeight="1">
      <c r="A244" s="496"/>
      <c r="B244" s="894" t="s">
        <v>195</v>
      </c>
      <c r="C244" s="289"/>
      <c r="D244" s="739"/>
      <c r="E244" s="740"/>
      <c r="F244" s="740"/>
      <c r="G244" s="741"/>
      <c r="H244" s="304"/>
      <c r="I244" s="766"/>
      <c r="J244" s="767"/>
      <c r="K244" s="767"/>
      <c r="L244" s="768"/>
      <c r="M244" s="304"/>
      <c r="N244" s="766"/>
      <c r="O244" s="767"/>
      <c r="P244" s="767"/>
      <c r="Q244" s="768"/>
      <c r="R244" s="304"/>
      <c r="S244" s="766"/>
      <c r="T244" s="767"/>
      <c r="U244" s="767"/>
      <c r="V244" s="768"/>
      <c r="W244" s="304"/>
      <c r="X244" s="764"/>
      <c r="Y244" s="764"/>
      <c r="Z244" s="764"/>
      <c r="AA244" s="764"/>
      <c r="AB244" s="265"/>
    </row>
    <row r="245" spans="1:29" ht="14.25">
      <c r="A245" s="496"/>
      <c r="B245" s="894"/>
      <c r="C245" s="289"/>
      <c r="D245" s="742"/>
      <c r="E245" s="743"/>
      <c r="F245" s="743"/>
      <c r="G245" s="744"/>
      <c r="H245" s="304"/>
      <c r="I245" s="742"/>
      <c r="J245" s="743"/>
      <c r="K245" s="743"/>
      <c r="L245" s="744"/>
      <c r="M245" s="304"/>
      <c r="N245" s="742"/>
      <c r="O245" s="743"/>
      <c r="P245" s="743"/>
      <c r="Q245" s="744"/>
      <c r="R245" s="304"/>
      <c r="S245" s="742"/>
      <c r="T245" s="743"/>
      <c r="U245" s="743"/>
      <c r="V245" s="744"/>
      <c r="W245" s="304"/>
      <c r="X245" s="764"/>
      <c r="Y245" s="764"/>
      <c r="Z245" s="764"/>
      <c r="AA245" s="764"/>
      <c r="AB245" s="265"/>
    </row>
    <row r="246" spans="1:29" ht="14.25">
      <c r="A246" s="496"/>
      <c r="B246" s="894"/>
      <c r="C246" s="289"/>
      <c r="D246" s="742"/>
      <c r="E246" s="743"/>
      <c r="F246" s="743"/>
      <c r="G246" s="744"/>
      <c r="H246" s="304"/>
      <c r="I246" s="742"/>
      <c r="J246" s="743"/>
      <c r="K246" s="743"/>
      <c r="L246" s="744"/>
      <c r="M246" s="304"/>
      <c r="N246" s="742"/>
      <c r="O246" s="743"/>
      <c r="P246" s="743"/>
      <c r="Q246" s="744"/>
      <c r="R246" s="304"/>
      <c r="S246" s="742"/>
      <c r="T246" s="743"/>
      <c r="U246" s="743"/>
      <c r="V246" s="744"/>
      <c r="W246" s="304"/>
      <c r="X246" s="764"/>
      <c r="Y246" s="764"/>
      <c r="Z246" s="764"/>
      <c r="AA246" s="764"/>
      <c r="AB246" s="265"/>
    </row>
    <row r="247" spans="1:29" ht="14.25">
      <c r="A247" s="496"/>
      <c r="B247" s="894"/>
      <c r="C247" s="289"/>
      <c r="D247" s="329"/>
      <c r="E247" s="330"/>
      <c r="F247" s="330"/>
      <c r="G247" s="331"/>
      <c r="H247" s="304"/>
      <c r="I247" s="329"/>
      <c r="J247" s="330"/>
      <c r="K247" s="330"/>
      <c r="L247" s="331"/>
      <c r="M247" s="304"/>
      <c r="N247" s="329"/>
      <c r="O247" s="330"/>
      <c r="P247" s="330"/>
      <c r="Q247" s="331"/>
      <c r="R247" s="304"/>
      <c r="S247" s="329"/>
      <c r="T247" s="330"/>
      <c r="U247" s="330"/>
      <c r="V247" s="331"/>
      <c r="W247" s="304"/>
      <c r="X247" s="335"/>
      <c r="Y247" s="335"/>
      <c r="Z247" s="335"/>
      <c r="AA247" s="335"/>
      <c r="AB247" s="265"/>
    </row>
    <row r="248" spans="1:29" ht="14.25">
      <c r="A248" s="496"/>
      <c r="B248" s="894"/>
      <c r="C248" s="289"/>
      <c r="D248" s="742"/>
      <c r="E248" s="743"/>
      <c r="F248" s="743"/>
      <c r="G248" s="744"/>
      <c r="H248" s="304"/>
      <c r="I248" s="742"/>
      <c r="J248" s="743"/>
      <c r="K248" s="743"/>
      <c r="L248" s="744"/>
      <c r="M248" s="304"/>
      <c r="N248" s="742"/>
      <c r="O248" s="743"/>
      <c r="P248" s="743"/>
      <c r="Q248" s="744"/>
      <c r="R248" s="304"/>
      <c r="S248" s="742"/>
      <c r="T248" s="743"/>
      <c r="U248" s="743"/>
      <c r="V248" s="744"/>
      <c r="W248" s="304"/>
      <c r="X248" s="764"/>
      <c r="Y248" s="764"/>
      <c r="Z248" s="764"/>
      <c r="AA248" s="764"/>
      <c r="AB248" s="265"/>
    </row>
    <row r="249" spans="1:29" ht="14.25">
      <c r="A249" s="496"/>
      <c r="B249" s="894"/>
      <c r="C249" s="289"/>
      <c r="D249" s="745"/>
      <c r="E249" s="746"/>
      <c r="F249" s="746"/>
      <c r="G249" s="747"/>
      <c r="H249" s="304"/>
      <c r="I249" s="745"/>
      <c r="J249" s="746"/>
      <c r="K249" s="746"/>
      <c r="L249" s="747"/>
      <c r="M249" s="304"/>
      <c r="N249" s="745"/>
      <c r="O249" s="746"/>
      <c r="P249" s="746"/>
      <c r="Q249" s="747"/>
      <c r="R249" s="304"/>
      <c r="S249" s="745"/>
      <c r="T249" s="746"/>
      <c r="U249" s="746"/>
      <c r="V249" s="747"/>
      <c r="W249" s="304"/>
      <c r="X249" s="764"/>
      <c r="Y249" s="764"/>
      <c r="Z249" s="764"/>
      <c r="AA249" s="764"/>
      <c r="AB249" s="265"/>
    </row>
    <row r="250" spans="1:29" ht="15">
      <c r="A250" s="496"/>
      <c r="B250" s="894"/>
      <c r="C250" s="289"/>
      <c r="D250" s="831" t="s">
        <v>200</v>
      </c>
      <c r="E250" s="832"/>
      <c r="F250" s="832"/>
      <c r="G250" s="833"/>
      <c r="H250" s="304"/>
      <c r="I250" s="831" t="s">
        <v>201</v>
      </c>
      <c r="J250" s="832"/>
      <c r="K250" s="832"/>
      <c r="L250" s="833"/>
      <c r="M250" s="304"/>
      <c r="N250" s="941" t="s">
        <v>202</v>
      </c>
      <c r="O250" s="749"/>
      <c r="P250" s="749"/>
      <c r="Q250" s="942"/>
      <c r="R250" s="304"/>
      <c r="S250" s="941" t="s">
        <v>203</v>
      </c>
      <c r="T250" s="749"/>
      <c r="U250" s="749"/>
      <c r="V250" s="942"/>
      <c r="W250" s="304"/>
      <c r="X250" s="765"/>
      <c r="Y250" s="765"/>
      <c r="Z250" s="765"/>
      <c r="AA250" s="765"/>
      <c r="AB250" s="265"/>
    </row>
    <row r="251" spans="1:29" s="201" customFormat="1" ht="27" customHeight="1">
      <c r="A251" s="508"/>
      <c r="B251" s="894"/>
      <c r="C251" s="289"/>
      <c r="D251" s="779" t="s">
        <v>178</v>
      </c>
      <c r="E251" s="780"/>
      <c r="F251" s="780"/>
      <c r="G251" s="781"/>
      <c r="H251" s="320"/>
      <c r="I251" s="779" t="s">
        <v>176</v>
      </c>
      <c r="J251" s="780"/>
      <c r="K251" s="780"/>
      <c r="L251" s="781"/>
      <c r="M251" s="320"/>
      <c r="N251" s="779" t="s">
        <v>10</v>
      </c>
      <c r="O251" s="780"/>
      <c r="P251" s="780"/>
      <c r="Q251" s="781"/>
      <c r="R251" s="320"/>
      <c r="S251" s="779" t="s">
        <v>11</v>
      </c>
      <c r="T251" s="780"/>
      <c r="U251" s="780"/>
      <c r="V251" s="781"/>
      <c r="W251" s="320"/>
      <c r="X251" s="830"/>
      <c r="Y251" s="830"/>
      <c r="Z251" s="830"/>
      <c r="AA251" s="830"/>
      <c r="AB251" s="270"/>
      <c r="AC251" s="454"/>
    </row>
    <row r="252" spans="1:29" ht="16.149999999999999" customHeight="1" thickBot="1">
      <c r="A252" s="496"/>
      <c r="B252" s="894"/>
      <c r="C252" s="289"/>
      <c r="D252" s="759">
        <v>0.15</v>
      </c>
      <c r="E252" s="760"/>
      <c r="F252" s="752">
        <v>0</v>
      </c>
      <c r="G252" s="753"/>
      <c r="H252" s="304"/>
      <c r="I252" s="757">
        <v>0.35</v>
      </c>
      <c r="J252" s="758"/>
      <c r="K252" s="752">
        <v>0</v>
      </c>
      <c r="L252" s="753"/>
      <c r="M252" s="304"/>
      <c r="N252" s="792">
        <v>0.18</v>
      </c>
      <c r="O252" s="793"/>
      <c r="P252" s="909">
        <v>0</v>
      </c>
      <c r="Q252" s="910"/>
      <c r="R252" s="304"/>
      <c r="S252" s="792">
        <v>0.18</v>
      </c>
      <c r="T252" s="793"/>
      <c r="U252" s="909">
        <v>0</v>
      </c>
      <c r="V252" s="910"/>
      <c r="W252" s="304"/>
      <c r="X252" s="823"/>
      <c r="Y252" s="823"/>
      <c r="Z252" s="754"/>
      <c r="AA252" s="754"/>
      <c r="AB252" s="265"/>
    </row>
    <row r="253" spans="1:29" s="631" customFormat="1" ht="16.149999999999999" customHeight="1">
      <c r="A253" s="624"/>
      <c r="B253" s="894"/>
      <c r="C253" s="289"/>
      <c r="D253" s="612">
        <f>D252*G253</f>
        <v>45</v>
      </c>
      <c r="E253" s="613"/>
      <c r="F253" s="625" t="s">
        <v>333</v>
      </c>
      <c r="G253" s="626">
        <v>300</v>
      </c>
      <c r="H253" s="611"/>
      <c r="I253" s="612">
        <f>I252*L253</f>
        <v>35</v>
      </c>
      <c r="J253" s="613"/>
      <c r="K253" s="625" t="s">
        <v>333</v>
      </c>
      <c r="L253" s="626">
        <v>100</v>
      </c>
      <c r="M253" s="611"/>
      <c r="N253" s="612">
        <f>N252*Q253</f>
        <v>41.4</v>
      </c>
      <c r="O253" s="613"/>
      <c r="P253" s="625" t="s">
        <v>333</v>
      </c>
      <c r="Q253" s="626">
        <v>230</v>
      </c>
      <c r="R253" s="611"/>
      <c r="S253" s="612">
        <f>S252*V253</f>
        <v>36</v>
      </c>
      <c r="T253" s="613"/>
      <c r="U253" s="625" t="s">
        <v>333</v>
      </c>
      <c r="V253" s="626">
        <v>200</v>
      </c>
      <c r="W253" s="611"/>
      <c r="X253" s="635"/>
      <c r="Y253" s="635"/>
      <c r="Z253" s="617"/>
      <c r="AA253" s="636"/>
      <c r="AB253" s="629"/>
      <c r="AC253" s="630"/>
    </row>
    <row r="254" spans="1:29" s="199" customFormat="1" ht="10.15" customHeight="1">
      <c r="A254" s="503"/>
      <c r="B254" s="266"/>
      <c r="C254" s="266"/>
      <c r="D254" s="344"/>
      <c r="E254" s="344"/>
      <c r="F254" s="338"/>
      <c r="G254" s="334"/>
      <c r="H254" s="304"/>
      <c r="I254" s="344"/>
      <c r="J254" s="344"/>
      <c r="K254" s="338"/>
      <c r="L254" s="334"/>
      <c r="M254" s="304"/>
      <c r="N254" s="344"/>
      <c r="O254" s="344"/>
      <c r="P254" s="338"/>
      <c r="Q254" s="334"/>
      <c r="R254" s="304"/>
      <c r="S254" s="344"/>
      <c r="T254" s="344"/>
      <c r="U254" s="338"/>
      <c r="V254" s="334"/>
      <c r="W254" s="304"/>
      <c r="X254" s="344"/>
      <c r="Y254" s="344"/>
      <c r="Z254" s="338"/>
      <c r="AA254" s="334"/>
      <c r="AB254" s="266"/>
      <c r="AC254" s="449"/>
    </row>
    <row r="255" spans="1:29" ht="12.75" customHeight="1">
      <c r="A255" s="496"/>
      <c r="B255" s="894" t="s">
        <v>196</v>
      </c>
      <c r="C255" s="289"/>
      <c r="D255" s="739"/>
      <c r="E255" s="740"/>
      <c r="F255" s="740"/>
      <c r="G255" s="741"/>
      <c r="H255" s="304"/>
      <c r="I255" s="766"/>
      <c r="J255" s="767"/>
      <c r="K255" s="767"/>
      <c r="L255" s="768"/>
      <c r="M255" s="304"/>
      <c r="N255" s="739"/>
      <c r="O255" s="740"/>
      <c r="P255" s="740"/>
      <c r="Q255" s="741"/>
      <c r="R255" s="304"/>
      <c r="S255" s="764"/>
      <c r="T255" s="764"/>
      <c r="U255" s="764"/>
      <c r="V255" s="764"/>
      <c r="W255" s="304"/>
      <c r="X255" s="764"/>
      <c r="Y255" s="764"/>
      <c r="Z255" s="764"/>
      <c r="AA255" s="764"/>
      <c r="AB255" s="265"/>
    </row>
    <row r="256" spans="1:29" ht="14.25">
      <c r="A256" s="496"/>
      <c r="B256" s="894"/>
      <c r="C256" s="289"/>
      <c r="D256" s="742"/>
      <c r="E256" s="743"/>
      <c r="F256" s="743"/>
      <c r="G256" s="744"/>
      <c r="H256" s="304"/>
      <c r="I256" s="804"/>
      <c r="J256" s="805"/>
      <c r="K256" s="805"/>
      <c r="L256" s="806"/>
      <c r="M256" s="304"/>
      <c r="N256" s="742"/>
      <c r="O256" s="743"/>
      <c r="P256" s="743"/>
      <c r="Q256" s="744"/>
      <c r="R256" s="304"/>
      <c r="S256" s="764"/>
      <c r="T256" s="764"/>
      <c r="U256" s="764"/>
      <c r="V256" s="764"/>
      <c r="W256" s="304"/>
      <c r="X256" s="764"/>
      <c r="Y256" s="764"/>
      <c r="Z256" s="764"/>
      <c r="AA256" s="764"/>
      <c r="AB256" s="265"/>
    </row>
    <row r="257" spans="1:29" ht="14.25">
      <c r="A257" s="496"/>
      <c r="B257" s="894"/>
      <c r="C257" s="289"/>
      <c r="D257" s="742"/>
      <c r="E257" s="743"/>
      <c r="F257" s="743"/>
      <c r="G257" s="744"/>
      <c r="H257" s="304"/>
      <c r="I257" s="804"/>
      <c r="J257" s="805"/>
      <c r="K257" s="805"/>
      <c r="L257" s="806"/>
      <c r="M257" s="304"/>
      <c r="N257" s="742"/>
      <c r="O257" s="743"/>
      <c r="P257" s="743"/>
      <c r="Q257" s="744"/>
      <c r="R257" s="304"/>
      <c r="S257" s="764"/>
      <c r="T257" s="764"/>
      <c r="U257" s="764"/>
      <c r="V257" s="764"/>
      <c r="W257" s="304"/>
      <c r="X257" s="335"/>
      <c r="Y257" s="335"/>
      <c r="Z257" s="335"/>
      <c r="AA257" s="335"/>
      <c r="AB257" s="265"/>
    </row>
    <row r="258" spans="1:29" ht="14.25">
      <c r="A258" s="496"/>
      <c r="B258" s="894"/>
      <c r="C258" s="289"/>
      <c r="D258" s="329"/>
      <c r="E258" s="330"/>
      <c r="F258" s="330"/>
      <c r="G258" s="331"/>
      <c r="H258" s="304"/>
      <c r="I258" s="804"/>
      <c r="J258" s="805"/>
      <c r="K258" s="805"/>
      <c r="L258" s="806"/>
      <c r="M258" s="304"/>
      <c r="N258" s="329"/>
      <c r="O258" s="330"/>
      <c r="P258" s="330"/>
      <c r="Q258" s="331"/>
      <c r="R258" s="304"/>
      <c r="S258" s="335"/>
      <c r="T258" s="335"/>
      <c r="U258" s="335"/>
      <c r="V258" s="335"/>
      <c r="W258" s="304"/>
      <c r="X258" s="764"/>
      <c r="Y258" s="764"/>
      <c r="Z258" s="764"/>
      <c r="AA258" s="764"/>
      <c r="AB258" s="265"/>
    </row>
    <row r="259" spans="1:29" ht="14.25">
      <c r="A259" s="496"/>
      <c r="B259" s="894"/>
      <c r="C259" s="289"/>
      <c r="D259" s="742"/>
      <c r="E259" s="743"/>
      <c r="F259" s="743"/>
      <c r="G259" s="744"/>
      <c r="H259" s="304"/>
      <c r="I259" s="804"/>
      <c r="J259" s="805"/>
      <c r="K259" s="805"/>
      <c r="L259" s="806"/>
      <c r="M259" s="304"/>
      <c r="N259" s="742"/>
      <c r="O259" s="743"/>
      <c r="P259" s="743"/>
      <c r="Q259" s="744"/>
      <c r="R259" s="304"/>
      <c r="S259" s="764"/>
      <c r="T259" s="764"/>
      <c r="U259" s="764"/>
      <c r="V259" s="764"/>
      <c r="W259" s="304"/>
      <c r="X259" s="764"/>
      <c r="Y259" s="764"/>
      <c r="Z259" s="764"/>
      <c r="AA259" s="764"/>
      <c r="AB259" s="265"/>
    </row>
    <row r="260" spans="1:29" ht="14.25">
      <c r="A260" s="496"/>
      <c r="B260" s="894"/>
      <c r="C260" s="289"/>
      <c r="D260" s="745"/>
      <c r="E260" s="746"/>
      <c r="F260" s="746"/>
      <c r="G260" s="747"/>
      <c r="H260" s="304"/>
      <c r="I260" s="807"/>
      <c r="J260" s="808"/>
      <c r="K260" s="808"/>
      <c r="L260" s="809"/>
      <c r="M260" s="304"/>
      <c r="N260" s="745"/>
      <c r="O260" s="746"/>
      <c r="P260" s="746"/>
      <c r="Q260" s="747"/>
      <c r="R260" s="304"/>
      <c r="S260" s="764"/>
      <c r="T260" s="764"/>
      <c r="U260" s="764"/>
      <c r="V260" s="764"/>
      <c r="W260" s="304"/>
      <c r="X260" s="764"/>
      <c r="Y260" s="764"/>
      <c r="Z260" s="764"/>
      <c r="AA260" s="764"/>
      <c r="AB260" s="265"/>
    </row>
    <row r="261" spans="1:29" ht="15">
      <c r="A261" s="496"/>
      <c r="B261" s="894"/>
      <c r="C261" s="289"/>
      <c r="D261" s="782" t="s">
        <v>240</v>
      </c>
      <c r="E261" s="783"/>
      <c r="F261" s="783"/>
      <c r="G261" s="784"/>
      <c r="H261" s="304"/>
      <c r="I261" s="782" t="s">
        <v>264</v>
      </c>
      <c r="J261" s="783"/>
      <c r="K261" s="783"/>
      <c r="L261" s="784"/>
      <c r="M261" s="304"/>
      <c r="N261" s="782" t="s">
        <v>241</v>
      </c>
      <c r="O261" s="783"/>
      <c r="P261" s="783"/>
      <c r="Q261" s="784"/>
      <c r="R261" s="304"/>
      <c r="S261" s="765"/>
      <c r="T261" s="765"/>
      <c r="U261" s="765"/>
      <c r="V261" s="765"/>
      <c r="W261" s="304"/>
      <c r="X261" s="765"/>
      <c r="Y261" s="765"/>
      <c r="Z261" s="765"/>
      <c r="AA261" s="765"/>
      <c r="AB261" s="265"/>
    </row>
    <row r="262" spans="1:29" s="201" customFormat="1" ht="27" customHeight="1">
      <c r="A262" s="508"/>
      <c r="B262" s="894"/>
      <c r="C262" s="289"/>
      <c r="D262" s="779" t="s">
        <v>354</v>
      </c>
      <c r="E262" s="780"/>
      <c r="F262" s="780"/>
      <c r="G262" s="781"/>
      <c r="H262" s="320"/>
      <c r="I262" s="779" t="s">
        <v>579</v>
      </c>
      <c r="J262" s="780"/>
      <c r="K262" s="780"/>
      <c r="L262" s="781"/>
      <c r="M262" s="320"/>
      <c r="N262" s="779" t="s">
        <v>580</v>
      </c>
      <c r="O262" s="780"/>
      <c r="P262" s="780"/>
      <c r="Q262" s="781"/>
      <c r="R262" s="320"/>
      <c r="S262" s="830"/>
      <c r="T262" s="830"/>
      <c r="U262" s="830"/>
      <c r="V262" s="830"/>
      <c r="W262" s="320"/>
      <c r="X262" s="830"/>
      <c r="Y262" s="830"/>
      <c r="Z262" s="830"/>
      <c r="AA262" s="830"/>
      <c r="AB262" s="270"/>
      <c r="AC262" s="454"/>
    </row>
    <row r="263" spans="1:29" ht="16.149999999999999" customHeight="1">
      <c r="A263" s="496"/>
      <c r="B263" s="894"/>
      <c r="C263" s="289"/>
      <c r="D263" s="926">
        <v>1.75</v>
      </c>
      <c r="E263" s="927"/>
      <c r="F263" s="769">
        <v>0</v>
      </c>
      <c r="G263" s="770"/>
      <c r="H263" s="304"/>
      <c r="I263" s="802">
        <v>0.55000000000000004</v>
      </c>
      <c r="J263" s="803"/>
      <c r="K263" s="769">
        <v>0</v>
      </c>
      <c r="L263" s="770"/>
      <c r="M263" s="304"/>
      <c r="N263" s="759">
        <v>1.75</v>
      </c>
      <c r="O263" s="760"/>
      <c r="P263" s="769">
        <v>0</v>
      </c>
      <c r="Q263" s="770"/>
      <c r="R263" s="304"/>
      <c r="S263" s="823"/>
      <c r="T263" s="823"/>
      <c r="U263" s="754"/>
      <c r="V263" s="754"/>
      <c r="W263" s="304"/>
      <c r="X263" s="823"/>
      <c r="Y263" s="823"/>
      <c r="Z263" s="754"/>
      <c r="AA263" s="754"/>
      <c r="AB263" s="265"/>
    </row>
    <row r="264" spans="1:29" s="631" customFormat="1" ht="16.149999999999999" customHeight="1">
      <c r="A264" s="624"/>
      <c r="B264" s="894"/>
      <c r="C264" s="289"/>
      <c r="D264" s="612">
        <f>D263*G264</f>
        <v>105</v>
      </c>
      <c r="E264" s="613"/>
      <c r="F264" s="625" t="s">
        <v>333</v>
      </c>
      <c r="G264" s="626">
        <v>60</v>
      </c>
      <c r="H264" s="611"/>
      <c r="I264" s="612">
        <f>I263*L264</f>
        <v>55.000000000000007</v>
      </c>
      <c r="J264" s="613"/>
      <c r="K264" s="625" t="s">
        <v>333</v>
      </c>
      <c r="L264" s="626">
        <v>100</v>
      </c>
      <c r="M264" s="611"/>
      <c r="N264" s="612">
        <f>N263*Q264</f>
        <v>105</v>
      </c>
      <c r="O264" s="613"/>
      <c r="P264" s="625" t="s">
        <v>333</v>
      </c>
      <c r="Q264" s="626">
        <v>60</v>
      </c>
      <c r="R264" s="611"/>
      <c r="S264" s="635"/>
      <c r="T264" s="635"/>
      <c r="U264" s="617"/>
      <c r="V264" s="636"/>
      <c r="W264" s="611"/>
      <c r="X264" s="635"/>
      <c r="Y264" s="635"/>
      <c r="Z264" s="617"/>
      <c r="AA264" s="636"/>
      <c r="AB264" s="629"/>
      <c r="AC264" s="630"/>
    </row>
    <row r="265" spans="1:29" ht="10.15" customHeight="1">
      <c r="A265" s="496"/>
      <c r="B265" s="265"/>
      <c r="C265" s="265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265"/>
    </row>
    <row r="266" spans="1:29" ht="12.75" customHeight="1">
      <c r="A266" s="496"/>
      <c r="B266" s="894" t="s">
        <v>182</v>
      </c>
      <c r="C266" s="299"/>
      <c r="D266" s="739"/>
      <c r="E266" s="740"/>
      <c r="F266" s="740"/>
      <c r="G266" s="741"/>
      <c r="H266" s="304"/>
      <c r="I266" s="739"/>
      <c r="J266" s="740"/>
      <c r="K266" s="740"/>
      <c r="L266" s="741"/>
      <c r="M266" s="304"/>
      <c r="N266" s="739"/>
      <c r="O266" s="740"/>
      <c r="P266" s="740"/>
      <c r="Q266" s="741"/>
      <c r="R266" s="304"/>
      <c r="S266" s="764"/>
      <c r="T266" s="764"/>
      <c r="U266" s="764"/>
      <c r="V266" s="764"/>
      <c r="W266" s="304"/>
      <c r="X266" s="764"/>
      <c r="Y266" s="764"/>
      <c r="Z266" s="764"/>
      <c r="AA266" s="764"/>
      <c r="AB266" s="265"/>
    </row>
    <row r="267" spans="1:29" ht="14.25">
      <c r="A267" s="496"/>
      <c r="B267" s="894"/>
      <c r="C267" s="299"/>
      <c r="D267" s="742"/>
      <c r="E267" s="743"/>
      <c r="F267" s="743"/>
      <c r="G267" s="744"/>
      <c r="H267" s="304"/>
      <c r="I267" s="742"/>
      <c r="J267" s="743"/>
      <c r="K267" s="743"/>
      <c r="L267" s="744"/>
      <c r="M267" s="304"/>
      <c r="N267" s="742"/>
      <c r="O267" s="743"/>
      <c r="P267" s="743"/>
      <c r="Q267" s="744"/>
      <c r="R267" s="304"/>
      <c r="S267" s="764"/>
      <c r="T267" s="764"/>
      <c r="U267" s="764"/>
      <c r="V267" s="764"/>
      <c r="W267" s="304"/>
      <c r="X267" s="764"/>
      <c r="Y267" s="764"/>
      <c r="Z267" s="764"/>
      <c r="AA267" s="764"/>
      <c r="AB267" s="265"/>
    </row>
    <row r="268" spans="1:29" ht="14.25">
      <c r="A268" s="496"/>
      <c r="B268" s="894"/>
      <c r="C268" s="299"/>
      <c r="D268" s="329"/>
      <c r="E268" s="330"/>
      <c r="F268" s="330"/>
      <c r="G268" s="331"/>
      <c r="H268" s="304"/>
      <c r="I268" s="329"/>
      <c r="J268" s="330"/>
      <c r="K268" s="330"/>
      <c r="L268" s="331"/>
      <c r="M268" s="304"/>
      <c r="N268" s="329"/>
      <c r="O268" s="330"/>
      <c r="P268" s="330"/>
      <c r="Q268" s="331"/>
      <c r="R268" s="304"/>
      <c r="S268" s="335"/>
      <c r="T268" s="335"/>
      <c r="U268" s="335"/>
      <c r="V268" s="335"/>
      <c r="W268" s="304"/>
      <c r="X268" s="335"/>
      <c r="Y268" s="335"/>
      <c r="Z268" s="335"/>
      <c r="AA268" s="335"/>
      <c r="AB268" s="265"/>
    </row>
    <row r="269" spans="1:29" ht="14.25">
      <c r="A269" s="496"/>
      <c r="B269" s="894"/>
      <c r="C269" s="299"/>
      <c r="D269" s="742"/>
      <c r="E269" s="743"/>
      <c r="F269" s="743"/>
      <c r="G269" s="744"/>
      <c r="H269" s="304"/>
      <c r="I269" s="742"/>
      <c r="J269" s="743"/>
      <c r="K269" s="743"/>
      <c r="L269" s="744"/>
      <c r="M269" s="304"/>
      <c r="N269" s="742"/>
      <c r="O269" s="743"/>
      <c r="P269" s="743"/>
      <c r="Q269" s="744"/>
      <c r="R269" s="304"/>
      <c r="S269" s="764"/>
      <c r="T269" s="764"/>
      <c r="U269" s="764"/>
      <c r="V269" s="764"/>
      <c r="W269" s="304"/>
      <c r="X269" s="764"/>
      <c r="Y269" s="764"/>
      <c r="Z269" s="764"/>
      <c r="AA269" s="764"/>
      <c r="AB269" s="265"/>
    </row>
    <row r="270" spans="1:29" ht="14.25">
      <c r="A270" s="496"/>
      <c r="B270" s="894"/>
      <c r="C270" s="299"/>
      <c r="D270" s="742"/>
      <c r="E270" s="743"/>
      <c r="F270" s="743"/>
      <c r="G270" s="744"/>
      <c r="H270" s="304"/>
      <c r="I270" s="742"/>
      <c r="J270" s="743"/>
      <c r="K270" s="743"/>
      <c r="L270" s="744"/>
      <c r="M270" s="304"/>
      <c r="N270" s="742"/>
      <c r="O270" s="743"/>
      <c r="P270" s="743"/>
      <c r="Q270" s="744"/>
      <c r="R270" s="304"/>
      <c r="S270" s="764"/>
      <c r="T270" s="764"/>
      <c r="U270" s="764"/>
      <c r="V270" s="764"/>
      <c r="W270" s="304"/>
      <c r="X270" s="764"/>
      <c r="Y270" s="764"/>
      <c r="Z270" s="764"/>
      <c r="AA270" s="764"/>
      <c r="AB270" s="265"/>
    </row>
    <row r="271" spans="1:29" ht="14.25">
      <c r="A271" s="496"/>
      <c r="B271" s="894"/>
      <c r="C271" s="299"/>
      <c r="D271" s="745"/>
      <c r="E271" s="746"/>
      <c r="F271" s="746"/>
      <c r="G271" s="747"/>
      <c r="H271" s="304"/>
      <c r="I271" s="745"/>
      <c r="J271" s="746"/>
      <c r="K271" s="746"/>
      <c r="L271" s="747"/>
      <c r="M271" s="304"/>
      <c r="N271" s="745"/>
      <c r="O271" s="746"/>
      <c r="P271" s="746"/>
      <c r="Q271" s="747"/>
      <c r="R271" s="304"/>
      <c r="S271" s="764"/>
      <c r="T271" s="764"/>
      <c r="U271" s="764"/>
      <c r="V271" s="764"/>
      <c r="W271" s="304"/>
      <c r="X271" s="764"/>
      <c r="Y271" s="764"/>
      <c r="Z271" s="764"/>
      <c r="AA271" s="764"/>
      <c r="AB271" s="265"/>
    </row>
    <row r="272" spans="1:29" ht="15">
      <c r="A272" s="496"/>
      <c r="B272" s="894"/>
      <c r="C272" s="299"/>
      <c r="D272" s="782" t="s">
        <v>242</v>
      </c>
      <c r="E272" s="783"/>
      <c r="F272" s="783"/>
      <c r="G272" s="784"/>
      <c r="H272" s="304"/>
      <c r="I272" s="782" t="s">
        <v>234</v>
      </c>
      <c r="J272" s="783"/>
      <c r="K272" s="783"/>
      <c r="L272" s="784"/>
      <c r="M272" s="304"/>
      <c r="N272" s="782" t="s">
        <v>204</v>
      </c>
      <c r="O272" s="783"/>
      <c r="P272" s="783"/>
      <c r="Q272" s="784"/>
      <c r="R272" s="304"/>
      <c r="S272" s="765"/>
      <c r="T272" s="765"/>
      <c r="U272" s="765"/>
      <c r="V272" s="765"/>
      <c r="W272" s="304"/>
      <c r="X272" s="765"/>
      <c r="Y272" s="765"/>
      <c r="Z272" s="765"/>
      <c r="AA272" s="765"/>
      <c r="AB272" s="265"/>
    </row>
    <row r="273" spans="1:29" s="201" customFormat="1" ht="27" customHeight="1">
      <c r="A273" s="508"/>
      <c r="B273" s="894"/>
      <c r="C273" s="299"/>
      <c r="D273" s="779" t="s">
        <v>175</v>
      </c>
      <c r="E273" s="780"/>
      <c r="F273" s="780"/>
      <c r="G273" s="781"/>
      <c r="H273" s="320"/>
      <c r="I273" s="779" t="s">
        <v>12</v>
      </c>
      <c r="J273" s="780"/>
      <c r="K273" s="780"/>
      <c r="L273" s="781"/>
      <c r="M273" s="320"/>
      <c r="N273" s="779" t="s">
        <v>0</v>
      </c>
      <c r="O273" s="780"/>
      <c r="P273" s="780"/>
      <c r="Q273" s="781"/>
      <c r="R273" s="320"/>
      <c r="S273" s="830"/>
      <c r="T273" s="830"/>
      <c r="U273" s="830"/>
      <c r="V273" s="830"/>
      <c r="W273" s="320"/>
      <c r="X273" s="830"/>
      <c r="Y273" s="830"/>
      <c r="Z273" s="830"/>
      <c r="AA273" s="830"/>
      <c r="AB273" s="270"/>
      <c r="AC273" s="454"/>
    </row>
    <row r="274" spans="1:29" ht="16.149999999999999" customHeight="1">
      <c r="A274" s="496"/>
      <c r="B274" s="894"/>
      <c r="C274" s="299"/>
      <c r="D274" s="759">
        <v>1</v>
      </c>
      <c r="E274" s="760"/>
      <c r="F274" s="769">
        <v>0</v>
      </c>
      <c r="G274" s="770"/>
      <c r="H274" s="304"/>
      <c r="I274" s="759">
        <v>6</v>
      </c>
      <c r="J274" s="760"/>
      <c r="K274" s="769">
        <v>0</v>
      </c>
      <c r="L274" s="770"/>
      <c r="M274" s="304"/>
      <c r="N274" s="759">
        <v>2.25</v>
      </c>
      <c r="O274" s="760"/>
      <c r="P274" s="769">
        <v>0</v>
      </c>
      <c r="Q274" s="770"/>
      <c r="R274" s="304"/>
      <c r="S274" s="823"/>
      <c r="T274" s="823"/>
      <c r="U274" s="754"/>
      <c r="V274" s="754"/>
      <c r="W274" s="304"/>
      <c r="X274" s="823"/>
      <c r="Y274" s="823"/>
      <c r="Z274" s="754"/>
      <c r="AA274" s="754"/>
      <c r="AB274" s="265"/>
    </row>
    <row r="275" spans="1:29" s="631" customFormat="1" ht="16.149999999999999" customHeight="1">
      <c r="A275" s="624"/>
      <c r="B275" s="894"/>
      <c r="C275" s="299"/>
      <c r="D275" s="612">
        <f>D274*G275</f>
        <v>200</v>
      </c>
      <c r="E275" s="613"/>
      <c r="F275" s="625" t="s">
        <v>333</v>
      </c>
      <c r="G275" s="626">
        <v>200</v>
      </c>
      <c r="H275" s="611"/>
      <c r="I275" s="612">
        <f>I274*L275</f>
        <v>600</v>
      </c>
      <c r="J275" s="613"/>
      <c r="K275" s="625" t="s">
        <v>333</v>
      </c>
      <c r="L275" s="626">
        <v>100</v>
      </c>
      <c r="M275" s="611"/>
      <c r="N275" s="612">
        <f>N274*Q275</f>
        <v>236.25</v>
      </c>
      <c r="O275" s="613"/>
      <c r="P275" s="625" t="s">
        <v>333</v>
      </c>
      <c r="Q275" s="626">
        <v>105</v>
      </c>
      <c r="R275" s="611"/>
      <c r="S275" s="635"/>
      <c r="T275" s="635"/>
      <c r="U275" s="617"/>
      <c r="V275" s="636"/>
      <c r="W275" s="611"/>
      <c r="X275" s="635"/>
      <c r="Y275" s="635"/>
      <c r="Z275" s="617"/>
      <c r="AA275" s="636"/>
      <c r="AB275" s="629"/>
      <c r="AC275" s="630"/>
    </row>
    <row r="276" spans="1:29" s="199" customFormat="1" ht="10.15" customHeight="1">
      <c r="A276" s="503"/>
      <c r="B276" s="266"/>
      <c r="C276" s="266"/>
      <c r="D276" s="344"/>
      <c r="E276" s="344"/>
      <c r="F276" s="338"/>
      <c r="G276" s="334"/>
      <c r="H276" s="304"/>
      <c r="I276" s="344"/>
      <c r="J276" s="344"/>
      <c r="K276" s="338"/>
      <c r="L276" s="334"/>
      <c r="M276" s="304"/>
      <c r="N276" s="344"/>
      <c r="O276" s="344"/>
      <c r="P276" s="338"/>
      <c r="Q276" s="334"/>
      <c r="R276" s="304"/>
      <c r="S276" s="344"/>
      <c r="T276" s="344"/>
      <c r="U276" s="338"/>
      <c r="V276" s="334"/>
      <c r="W276" s="304"/>
      <c r="X276" s="344"/>
      <c r="Y276" s="344"/>
      <c r="Z276" s="338"/>
      <c r="AA276" s="334"/>
      <c r="AB276" s="266"/>
      <c r="AC276" s="449"/>
    </row>
    <row r="277" spans="1:29" ht="14.25">
      <c r="A277" s="496"/>
      <c r="B277" s="894" t="s">
        <v>574</v>
      </c>
      <c r="C277" s="289"/>
      <c r="D277" s="739"/>
      <c r="E277" s="740"/>
      <c r="F277" s="740"/>
      <c r="G277" s="741"/>
      <c r="H277" s="304"/>
      <c r="I277" s="739"/>
      <c r="J277" s="740"/>
      <c r="K277" s="740"/>
      <c r="L277" s="741"/>
      <c r="M277" s="304"/>
      <c r="N277" s="766"/>
      <c r="O277" s="767"/>
      <c r="P277" s="767"/>
      <c r="Q277" s="768"/>
      <c r="R277" s="304"/>
      <c r="S277" s="739"/>
      <c r="T277" s="740"/>
      <c r="U277" s="740"/>
      <c r="V277" s="741"/>
      <c r="W277" s="304"/>
      <c r="X277" s="764"/>
      <c r="Y277" s="764"/>
      <c r="Z277" s="764"/>
      <c r="AA277" s="764"/>
      <c r="AB277" s="265"/>
    </row>
    <row r="278" spans="1:29" ht="14.25">
      <c r="A278" s="496"/>
      <c r="B278" s="894"/>
      <c r="C278" s="289"/>
      <c r="D278" s="742"/>
      <c r="E278" s="743"/>
      <c r="F278" s="743"/>
      <c r="G278" s="744"/>
      <c r="H278" s="304"/>
      <c r="I278" s="742"/>
      <c r="J278" s="743"/>
      <c r="K278" s="743"/>
      <c r="L278" s="744"/>
      <c r="M278" s="304"/>
      <c r="N278" s="742"/>
      <c r="O278" s="743"/>
      <c r="P278" s="743"/>
      <c r="Q278" s="744"/>
      <c r="R278" s="304"/>
      <c r="S278" s="742"/>
      <c r="T278" s="743"/>
      <c r="U278" s="743"/>
      <c r="V278" s="744"/>
      <c r="W278" s="304"/>
      <c r="X278" s="764"/>
      <c r="Y278" s="764"/>
      <c r="Z278" s="764"/>
      <c r="AA278" s="764"/>
      <c r="AB278" s="265"/>
    </row>
    <row r="279" spans="1:29" ht="14.25">
      <c r="A279" s="496"/>
      <c r="B279" s="894"/>
      <c r="C279" s="289"/>
      <c r="D279" s="329"/>
      <c r="E279" s="330"/>
      <c r="F279" s="330"/>
      <c r="G279" s="331"/>
      <c r="H279" s="304"/>
      <c r="I279" s="329"/>
      <c r="J279" s="330"/>
      <c r="K279" s="330"/>
      <c r="L279" s="331"/>
      <c r="M279" s="304"/>
      <c r="N279" s="329"/>
      <c r="O279" s="330"/>
      <c r="P279" s="330"/>
      <c r="Q279" s="331"/>
      <c r="R279" s="304"/>
      <c r="S279" s="329"/>
      <c r="T279" s="330"/>
      <c r="U279" s="330"/>
      <c r="V279" s="331"/>
      <c r="W279" s="304"/>
      <c r="X279" s="335"/>
      <c r="Y279" s="335"/>
      <c r="Z279" s="335"/>
      <c r="AA279" s="335"/>
      <c r="AB279" s="265"/>
    </row>
    <row r="280" spans="1:29" ht="14.25">
      <c r="A280" s="496"/>
      <c r="B280" s="894"/>
      <c r="C280" s="289"/>
      <c r="D280" s="742"/>
      <c r="E280" s="743"/>
      <c r="F280" s="743"/>
      <c r="G280" s="744"/>
      <c r="H280" s="304"/>
      <c r="I280" s="742"/>
      <c r="J280" s="743"/>
      <c r="K280" s="743"/>
      <c r="L280" s="744"/>
      <c r="M280" s="304"/>
      <c r="N280" s="742"/>
      <c r="O280" s="743"/>
      <c r="P280" s="743"/>
      <c r="Q280" s="744"/>
      <c r="R280" s="304"/>
      <c r="S280" s="742"/>
      <c r="T280" s="743"/>
      <c r="U280" s="743"/>
      <c r="V280" s="744"/>
      <c r="W280" s="304"/>
      <c r="X280" s="764"/>
      <c r="Y280" s="764"/>
      <c r="Z280" s="764"/>
      <c r="AA280" s="764"/>
      <c r="AB280" s="265"/>
    </row>
    <row r="281" spans="1:29" ht="14.25">
      <c r="A281" s="496"/>
      <c r="B281" s="894"/>
      <c r="C281" s="289"/>
      <c r="D281" s="742"/>
      <c r="E281" s="743"/>
      <c r="F281" s="743"/>
      <c r="G281" s="744"/>
      <c r="H281" s="304"/>
      <c r="I281" s="742"/>
      <c r="J281" s="743"/>
      <c r="K281" s="743"/>
      <c r="L281" s="744"/>
      <c r="M281" s="304"/>
      <c r="N281" s="742"/>
      <c r="O281" s="743"/>
      <c r="P281" s="743"/>
      <c r="Q281" s="744"/>
      <c r="R281" s="304"/>
      <c r="S281" s="742"/>
      <c r="T281" s="743"/>
      <c r="U281" s="743"/>
      <c r="V281" s="744"/>
      <c r="W281" s="304"/>
      <c r="X281" s="764"/>
      <c r="Y281" s="764"/>
      <c r="Z281" s="764"/>
      <c r="AA281" s="764"/>
      <c r="AB281" s="265"/>
    </row>
    <row r="282" spans="1:29" ht="14.25">
      <c r="A282" s="496"/>
      <c r="B282" s="894"/>
      <c r="C282" s="289"/>
      <c r="D282" s="745"/>
      <c r="E282" s="746"/>
      <c r="F282" s="746"/>
      <c r="G282" s="747"/>
      <c r="H282" s="304"/>
      <c r="I282" s="745"/>
      <c r="J282" s="746"/>
      <c r="K282" s="746"/>
      <c r="L282" s="747"/>
      <c r="M282" s="304"/>
      <c r="N282" s="745"/>
      <c r="O282" s="746"/>
      <c r="P282" s="746"/>
      <c r="Q282" s="747"/>
      <c r="R282" s="304"/>
      <c r="S282" s="745"/>
      <c r="T282" s="746"/>
      <c r="U282" s="746"/>
      <c r="V282" s="747"/>
      <c r="W282" s="304"/>
      <c r="X282" s="764"/>
      <c r="Y282" s="764"/>
      <c r="Z282" s="764"/>
      <c r="AA282" s="764"/>
      <c r="AB282" s="265"/>
    </row>
    <row r="283" spans="1:29" ht="15">
      <c r="A283" s="496"/>
      <c r="B283" s="894"/>
      <c r="C283" s="289"/>
      <c r="D283" s="782" t="s">
        <v>496</v>
      </c>
      <c r="E283" s="783"/>
      <c r="F283" s="783"/>
      <c r="G283" s="784"/>
      <c r="H283" s="304"/>
      <c r="I283" s="782" t="s">
        <v>205</v>
      </c>
      <c r="J283" s="783"/>
      <c r="K283" s="783"/>
      <c r="L283" s="784"/>
      <c r="M283" s="304"/>
      <c r="N283" s="794" t="s">
        <v>436</v>
      </c>
      <c r="O283" s="795"/>
      <c r="P283" s="795"/>
      <c r="Q283" s="796"/>
      <c r="R283" s="304"/>
      <c r="S283" s="782" t="s">
        <v>243</v>
      </c>
      <c r="T283" s="783"/>
      <c r="U283" s="783"/>
      <c r="V283" s="784"/>
      <c r="W283" s="304"/>
      <c r="X283" s="765"/>
      <c r="Y283" s="765"/>
      <c r="Z283" s="765"/>
      <c r="AA283" s="765"/>
      <c r="AB283" s="265"/>
    </row>
    <row r="284" spans="1:29" s="201" customFormat="1" ht="27" customHeight="1">
      <c r="A284" s="508"/>
      <c r="B284" s="894"/>
      <c r="C284" s="289"/>
      <c r="D284" s="779" t="s">
        <v>13</v>
      </c>
      <c r="E284" s="780"/>
      <c r="F284" s="780"/>
      <c r="G284" s="781"/>
      <c r="H284" s="320"/>
      <c r="I284" s="779" t="s">
        <v>355</v>
      </c>
      <c r="J284" s="780"/>
      <c r="K284" s="780"/>
      <c r="L284" s="781"/>
      <c r="M284" s="320"/>
      <c r="N284" s="779" t="s">
        <v>604</v>
      </c>
      <c r="O284" s="780"/>
      <c r="P284" s="780"/>
      <c r="Q284" s="781"/>
      <c r="R284" s="320"/>
      <c r="S284" s="779" t="s">
        <v>605</v>
      </c>
      <c r="T284" s="780"/>
      <c r="U284" s="780"/>
      <c r="V284" s="781"/>
      <c r="W284" s="320"/>
      <c r="X284" s="830"/>
      <c r="Y284" s="830"/>
      <c r="Z284" s="830"/>
      <c r="AA284" s="830"/>
      <c r="AB284" s="270"/>
      <c r="AC284" s="454"/>
    </row>
    <row r="285" spans="1:29" ht="16.149999999999999" customHeight="1">
      <c r="A285" s="496"/>
      <c r="B285" s="894"/>
      <c r="C285" s="289"/>
      <c r="D285" s="759">
        <v>3.75</v>
      </c>
      <c r="E285" s="760"/>
      <c r="F285" s="769">
        <v>0</v>
      </c>
      <c r="G285" s="770"/>
      <c r="H285" s="304"/>
      <c r="I285" s="759">
        <v>5.25</v>
      </c>
      <c r="J285" s="760"/>
      <c r="K285" s="769">
        <v>0</v>
      </c>
      <c r="L285" s="770"/>
      <c r="M285" s="304"/>
      <c r="N285" s="788">
        <v>2.25</v>
      </c>
      <c r="O285" s="789"/>
      <c r="P285" s="790">
        <v>0</v>
      </c>
      <c r="Q285" s="791"/>
      <c r="R285" s="304"/>
      <c r="S285" s="757">
        <v>2.25</v>
      </c>
      <c r="T285" s="758"/>
      <c r="U285" s="769">
        <v>0</v>
      </c>
      <c r="V285" s="770"/>
      <c r="W285" s="304"/>
      <c r="X285" s="823"/>
      <c r="Y285" s="823"/>
      <c r="Z285" s="754"/>
      <c r="AA285" s="754"/>
      <c r="AB285" s="265"/>
    </row>
    <row r="286" spans="1:29" s="631" customFormat="1" ht="16.149999999999999" customHeight="1">
      <c r="A286" s="624"/>
      <c r="B286" s="894"/>
      <c r="C286" s="289"/>
      <c r="D286" s="612">
        <f>D285*G286</f>
        <v>75</v>
      </c>
      <c r="E286" s="613"/>
      <c r="F286" s="625" t="s">
        <v>333</v>
      </c>
      <c r="G286" s="626">
        <v>20</v>
      </c>
      <c r="H286" s="611"/>
      <c r="I286" s="612">
        <f>I285*L286</f>
        <v>262.5</v>
      </c>
      <c r="J286" s="613"/>
      <c r="K286" s="625" t="s">
        <v>333</v>
      </c>
      <c r="L286" s="626">
        <v>50</v>
      </c>
      <c r="M286" s="611"/>
      <c r="N286" s="637">
        <f>N285*Q286</f>
        <v>101.25</v>
      </c>
      <c r="O286" s="613"/>
      <c r="P286" s="625" t="s">
        <v>333</v>
      </c>
      <c r="Q286" s="626">
        <v>45</v>
      </c>
      <c r="R286" s="611"/>
      <c r="S286" s="612">
        <f>S285*V286</f>
        <v>90</v>
      </c>
      <c r="T286" s="613"/>
      <c r="U286" s="633" t="s">
        <v>333</v>
      </c>
      <c r="V286" s="634">
        <v>40</v>
      </c>
      <c r="W286" s="611"/>
      <c r="X286" s="635"/>
      <c r="Y286" s="635"/>
      <c r="Z286" s="617"/>
      <c r="AA286" s="636"/>
      <c r="AB286" s="629"/>
      <c r="AC286" s="630"/>
    </row>
    <row r="287" spans="1:29" s="199" customFormat="1" ht="10.15" customHeight="1">
      <c r="A287" s="503"/>
      <c r="B287" s="276"/>
      <c r="C287" s="276"/>
      <c r="D287" s="344"/>
      <c r="E287" s="344"/>
      <c r="F287" s="338"/>
      <c r="G287" s="334"/>
      <c r="H287" s="304"/>
      <c r="I287" s="344"/>
      <c r="J287" s="344"/>
      <c r="K287" s="338"/>
      <c r="L287" s="334"/>
      <c r="M287" s="304"/>
      <c r="N287" s="338"/>
      <c r="O287" s="338"/>
      <c r="P287" s="338"/>
      <c r="Q287" s="358"/>
      <c r="R287" s="304"/>
      <c r="S287" s="338"/>
      <c r="T287" s="338"/>
      <c r="U287" s="338"/>
      <c r="V287" s="358"/>
      <c r="W287" s="304"/>
      <c r="X287" s="344"/>
      <c r="Y287" s="344"/>
      <c r="Z287" s="338"/>
      <c r="AA287" s="334"/>
      <c r="AB287" s="266"/>
      <c r="AC287" s="449"/>
    </row>
    <row r="288" spans="1:29" ht="14.25">
      <c r="A288" s="496"/>
      <c r="B288" s="894" t="s">
        <v>177</v>
      </c>
      <c r="C288" s="289"/>
      <c r="D288" s="739"/>
      <c r="E288" s="740"/>
      <c r="F288" s="740"/>
      <c r="G288" s="741"/>
      <c r="H288" s="304"/>
      <c r="I288" s="766"/>
      <c r="J288" s="767"/>
      <c r="K288" s="767"/>
      <c r="L288" s="768"/>
      <c r="M288" s="304"/>
      <c r="N288" s="739"/>
      <c r="O288" s="740"/>
      <c r="P288" s="740"/>
      <c r="Q288" s="741"/>
      <c r="R288" s="304"/>
      <c r="S288" s="739"/>
      <c r="T288" s="740"/>
      <c r="U288" s="740"/>
      <c r="V288" s="741"/>
      <c r="W288" s="304"/>
      <c r="X288" s="764"/>
      <c r="Y288" s="764"/>
      <c r="Z288" s="764"/>
      <c r="AA288" s="764"/>
      <c r="AB288" s="265"/>
    </row>
    <row r="289" spans="1:29" ht="14.25">
      <c r="A289" s="496"/>
      <c r="B289" s="894"/>
      <c r="C289" s="289"/>
      <c r="D289" s="742"/>
      <c r="E289" s="743"/>
      <c r="F289" s="743"/>
      <c r="G289" s="744"/>
      <c r="H289" s="304"/>
      <c r="I289" s="761"/>
      <c r="J289" s="762"/>
      <c r="K289" s="762"/>
      <c r="L289" s="763"/>
      <c r="M289" s="304"/>
      <c r="N289" s="742"/>
      <c r="O289" s="743"/>
      <c r="P289" s="743"/>
      <c r="Q289" s="744"/>
      <c r="R289" s="304"/>
      <c r="S289" s="742"/>
      <c r="T289" s="743"/>
      <c r="U289" s="743"/>
      <c r="V289" s="744"/>
      <c r="W289" s="304"/>
      <c r="X289" s="764"/>
      <c r="Y289" s="764"/>
      <c r="Z289" s="764"/>
      <c r="AA289" s="764"/>
      <c r="AB289" s="265"/>
    </row>
    <row r="290" spans="1:29" ht="14.25">
      <c r="A290" s="496"/>
      <c r="B290" s="894"/>
      <c r="C290" s="289"/>
      <c r="D290" s="329"/>
      <c r="E290" s="330"/>
      <c r="F290" s="330"/>
      <c r="G290" s="331"/>
      <c r="H290" s="304"/>
      <c r="I290" s="347"/>
      <c r="J290" s="348"/>
      <c r="K290" s="348"/>
      <c r="L290" s="349"/>
      <c r="M290" s="304"/>
      <c r="N290" s="329"/>
      <c r="O290" s="330"/>
      <c r="P290" s="330"/>
      <c r="Q290" s="331"/>
      <c r="R290" s="304"/>
      <c r="S290" s="329"/>
      <c r="T290" s="330"/>
      <c r="U290" s="330"/>
      <c r="V290" s="331"/>
      <c r="W290" s="304"/>
      <c r="X290" s="335"/>
      <c r="Y290" s="335"/>
      <c r="Z290" s="335"/>
      <c r="AA290" s="335"/>
      <c r="AB290" s="265"/>
    </row>
    <row r="291" spans="1:29" ht="14.25">
      <c r="A291" s="496"/>
      <c r="B291" s="894"/>
      <c r="C291" s="289"/>
      <c r="D291" s="742"/>
      <c r="E291" s="743"/>
      <c r="F291" s="743"/>
      <c r="G291" s="744"/>
      <c r="H291" s="304"/>
      <c r="I291" s="761"/>
      <c r="J291" s="762"/>
      <c r="K291" s="762"/>
      <c r="L291" s="763"/>
      <c r="M291" s="304"/>
      <c r="N291" s="742"/>
      <c r="O291" s="743"/>
      <c r="P291" s="743"/>
      <c r="Q291" s="744"/>
      <c r="R291" s="304"/>
      <c r="S291" s="742"/>
      <c r="T291" s="743"/>
      <c r="U291" s="743"/>
      <c r="V291" s="744"/>
      <c r="W291" s="304"/>
      <c r="X291" s="764"/>
      <c r="Y291" s="764"/>
      <c r="Z291" s="764"/>
      <c r="AA291" s="764"/>
      <c r="AB291" s="265"/>
    </row>
    <row r="292" spans="1:29" ht="14.25">
      <c r="A292" s="496"/>
      <c r="B292" s="894"/>
      <c r="C292" s="289"/>
      <c r="D292" s="742"/>
      <c r="E292" s="743"/>
      <c r="F292" s="743"/>
      <c r="G292" s="744"/>
      <c r="H292" s="304"/>
      <c r="I292" s="761"/>
      <c r="J292" s="762"/>
      <c r="K292" s="762"/>
      <c r="L292" s="763"/>
      <c r="M292" s="304"/>
      <c r="N292" s="742"/>
      <c r="O292" s="743"/>
      <c r="P292" s="743"/>
      <c r="Q292" s="744"/>
      <c r="R292" s="304"/>
      <c r="S292" s="742"/>
      <c r="T292" s="743"/>
      <c r="U292" s="743"/>
      <c r="V292" s="744"/>
      <c r="W292" s="304"/>
      <c r="X292" s="764"/>
      <c r="Y292" s="764"/>
      <c r="Z292" s="764"/>
      <c r="AA292" s="764"/>
      <c r="AB292" s="265"/>
    </row>
    <row r="293" spans="1:29" ht="14.25">
      <c r="A293" s="496"/>
      <c r="B293" s="894"/>
      <c r="C293" s="289"/>
      <c r="D293" s="745"/>
      <c r="E293" s="746"/>
      <c r="F293" s="746"/>
      <c r="G293" s="747"/>
      <c r="H293" s="304"/>
      <c r="I293" s="891"/>
      <c r="J293" s="892"/>
      <c r="K293" s="892"/>
      <c r="L293" s="893"/>
      <c r="M293" s="304"/>
      <c r="N293" s="745"/>
      <c r="O293" s="746"/>
      <c r="P293" s="746"/>
      <c r="Q293" s="747"/>
      <c r="R293" s="304"/>
      <c r="S293" s="745"/>
      <c r="T293" s="746"/>
      <c r="U293" s="746"/>
      <c r="V293" s="747"/>
      <c r="W293" s="304"/>
      <c r="X293" s="764"/>
      <c r="Y293" s="764"/>
      <c r="Z293" s="764"/>
      <c r="AA293" s="764"/>
      <c r="AB293" s="265"/>
    </row>
    <row r="294" spans="1:29" ht="15">
      <c r="A294" s="496"/>
      <c r="B294" s="894"/>
      <c r="C294" s="289"/>
      <c r="D294" s="782" t="s">
        <v>206</v>
      </c>
      <c r="E294" s="783"/>
      <c r="F294" s="783"/>
      <c r="G294" s="784"/>
      <c r="H294" s="304"/>
      <c r="I294" s="782" t="s">
        <v>198</v>
      </c>
      <c r="J294" s="783"/>
      <c r="K294" s="783"/>
      <c r="L294" s="784"/>
      <c r="M294" s="304"/>
      <c r="N294" s="782" t="s">
        <v>197</v>
      </c>
      <c r="O294" s="783"/>
      <c r="P294" s="783"/>
      <c r="Q294" s="784"/>
      <c r="R294" s="304"/>
      <c r="S294" s="782" t="s">
        <v>199</v>
      </c>
      <c r="T294" s="783"/>
      <c r="U294" s="783"/>
      <c r="V294" s="784"/>
      <c r="W294" s="304"/>
      <c r="X294" s="765"/>
      <c r="Y294" s="765"/>
      <c r="Z294" s="765"/>
      <c r="AA294" s="765"/>
      <c r="AB294" s="265"/>
    </row>
    <row r="295" spans="1:29" s="201" customFormat="1" ht="27" customHeight="1">
      <c r="A295" s="508"/>
      <c r="B295" s="894"/>
      <c r="C295" s="289"/>
      <c r="D295" s="779" t="s">
        <v>9</v>
      </c>
      <c r="E295" s="780"/>
      <c r="F295" s="780"/>
      <c r="G295" s="781"/>
      <c r="H295" s="320"/>
      <c r="I295" s="779" t="s">
        <v>266</v>
      </c>
      <c r="J295" s="780"/>
      <c r="K295" s="780"/>
      <c r="L295" s="781"/>
      <c r="M295" s="320"/>
      <c r="N295" s="779" t="s">
        <v>265</v>
      </c>
      <c r="O295" s="780"/>
      <c r="P295" s="780"/>
      <c r="Q295" s="781"/>
      <c r="R295" s="320"/>
      <c r="S295" s="779" t="s">
        <v>26</v>
      </c>
      <c r="T295" s="780"/>
      <c r="U295" s="780"/>
      <c r="V295" s="781"/>
      <c r="W295" s="320"/>
      <c r="X295" s="830"/>
      <c r="Y295" s="830"/>
      <c r="Z295" s="830"/>
      <c r="AA295" s="830"/>
      <c r="AB295" s="270"/>
      <c r="AC295" s="454"/>
    </row>
    <row r="296" spans="1:29" ht="16.149999999999999" customHeight="1">
      <c r="A296" s="496"/>
      <c r="B296" s="894"/>
      <c r="C296" s="289"/>
      <c r="D296" s="926">
        <v>0.8</v>
      </c>
      <c r="E296" s="927"/>
      <c r="F296" s="769">
        <v>0</v>
      </c>
      <c r="G296" s="770"/>
      <c r="H296" s="304"/>
      <c r="I296" s="757">
        <v>7</v>
      </c>
      <c r="J296" s="758"/>
      <c r="K296" s="769">
        <v>0</v>
      </c>
      <c r="L296" s="770"/>
      <c r="M296" s="304"/>
      <c r="N296" s="759">
        <v>9</v>
      </c>
      <c r="O296" s="760"/>
      <c r="P296" s="769">
        <v>0</v>
      </c>
      <c r="Q296" s="770"/>
      <c r="R296" s="304"/>
      <c r="S296" s="759">
        <v>2.5</v>
      </c>
      <c r="T296" s="760"/>
      <c r="U296" s="769">
        <v>0</v>
      </c>
      <c r="V296" s="770"/>
      <c r="W296" s="304"/>
      <c r="X296" s="823"/>
      <c r="Y296" s="823"/>
      <c r="Z296" s="754"/>
      <c r="AA296" s="754"/>
      <c r="AB296" s="265"/>
    </row>
    <row r="297" spans="1:29" s="631" customFormat="1" ht="16.149999999999999" customHeight="1">
      <c r="A297" s="624"/>
      <c r="B297" s="894"/>
      <c r="C297" s="289"/>
      <c r="D297" s="612">
        <f>D296*G297</f>
        <v>160</v>
      </c>
      <c r="E297" s="613"/>
      <c r="F297" s="625" t="s">
        <v>333</v>
      </c>
      <c r="G297" s="626">
        <v>200</v>
      </c>
      <c r="H297" s="611"/>
      <c r="I297" s="612">
        <f>I296*L297</f>
        <v>245</v>
      </c>
      <c r="J297" s="632"/>
      <c r="K297" s="633" t="s">
        <v>333</v>
      </c>
      <c r="L297" s="634">
        <v>35</v>
      </c>
      <c r="M297" s="611"/>
      <c r="N297" s="612">
        <f>N296*Q297</f>
        <v>135</v>
      </c>
      <c r="O297" s="613"/>
      <c r="P297" s="625" t="s">
        <v>333</v>
      </c>
      <c r="Q297" s="626">
        <v>15</v>
      </c>
      <c r="R297" s="611"/>
      <c r="S297" s="612">
        <f>S296*V297</f>
        <v>100</v>
      </c>
      <c r="T297" s="613"/>
      <c r="U297" s="625" t="s">
        <v>333</v>
      </c>
      <c r="V297" s="626">
        <v>40</v>
      </c>
      <c r="W297" s="611"/>
      <c r="X297" s="635"/>
      <c r="Y297" s="635"/>
      <c r="Z297" s="617"/>
      <c r="AA297" s="636"/>
      <c r="AB297" s="629"/>
      <c r="AC297" s="630"/>
    </row>
    <row r="298" spans="1:29" s="199" customFormat="1" ht="10.15" customHeight="1">
      <c r="A298" s="503"/>
      <c r="B298" s="266"/>
      <c r="C298" s="266"/>
      <c r="D298" s="344"/>
      <c r="E298" s="344"/>
      <c r="F298" s="338"/>
      <c r="G298" s="334"/>
      <c r="H298" s="304"/>
      <c r="I298" s="344"/>
      <c r="J298" s="344"/>
      <c r="K298" s="338"/>
      <c r="L298" s="334"/>
      <c r="M298" s="304"/>
      <c r="N298" s="344"/>
      <c r="O298" s="344"/>
      <c r="P298" s="338"/>
      <c r="Q298" s="334"/>
      <c r="R298" s="304"/>
      <c r="S298" s="344"/>
      <c r="T298" s="344"/>
      <c r="U298" s="338"/>
      <c r="V298" s="334"/>
      <c r="W298" s="304"/>
      <c r="X298" s="344"/>
      <c r="Y298" s="344"/>
      <c r="Z298" s="338"/>
      <c r="AA298" s="334"/>
      <c r="AB298" s="266"/>
      <c r="AC298" s="449"/>
    </row>
    <row r="299" spans="1:29" s="199" customFormat="1" ht="13.5" customHeight="1">
      <c r="A299" s="503"/>
      <c r="B299" s="894" t="s">
        <v>557</v>
      </c>
      <c r="C299" s="289"/>
      <c r="D299" s="766"/>
      <c r="E299" s="767"/>
      <c r="F299" s="767"/>
      <c r="G299" s="768"/>
      <c r="H299" s="304"/>
      <c r="I299" s="766"/>
      <c r="J299" s="767"/>
      <c r="K299" s="767"/>
      <c r="L299" s="768"/>
      <c r="M299" s="304"/>
      <c r="N299" s="766"/>
      <c r="O299" s="767"/>
      <c r="P299" s="767"/>
      <c r="Q299" s="768"/>
      <c r="R299" s="304"/>
      <c r="S299" s="766"/>
      <c r="T299" s="767"/>
      <c r="U299" s="767"/>
      <c r="V299" s="768"/>
      <c r="W299" s="304"/>
      <c r="X299" s="336"/>
      <c r="Y299" s="337"/>
      <c r="Z299" s="338"/>
      <c r="AA299" s="339"/>
      <c r="AB299" s="266"/>
      <c r="AC299" s="449"/>
    </row>
    <row r="300" spans="1:29" s="199" customFormat="1" ht="13.5" customHeight="1">
      <c r="A300" s="503"/>
      <c r="B300" s="894"/>
      <c r="C300" s="289"/>
      <c r="D300" s="804"/>
      <c r="E300" s="805"/>
      <c r="F300" s="805"/>
      <c r="G300" s="806"/>
      <c r="H300" s="304"/>
      <c r="I300" s="804"/>
      <c r="J300" s="805"/>
      <c r="K300" s="805"/>
      <c r="L300" s="806"/>
      <c r="M300" s="304"/>
      <c r="N300" s="804"/>
      <c r="O300" s="805"/>
      <c r="P300" s="805"/>
      <c r="Q300" s="806"/>
      <c r="R300" s="304"/>
      <c r="S300" s="804"/>
      <c r="T300" s="805"/>
      <c r="U300" s="805"/>
      <c r="V300" s="806"/>
      <c r="W300" s="304"/>
      <c r="X300" s="336"/>
      <c r="Y300" s="337"/>
      <c r="Z300" s="338"/>
      <c r="AA300" s="339"/>
      <c r="AB300" s="266"/>
      <c r="AC300" s="449"/>
    </row>
    <row r="301" spans="1:29" s="199" customFormat="1" ht="13.5" customHeight="1">
      <c r="A301" s="503"/>
      <c r="B301" s="894"/>
      <c r="C301" s="289"/>
      <c r="D301" s="804"/>
      <c r="E301" s="805"/>
      <c r="F301" s="805"/>
      <c r="G301" s="806"/>
      <c r="H301" s="304"/>
      <c r="I301" s="804"/>
      <c r="J301" s="805"/>
      <c r="K301" s="805"/>
      <c r="L301" s="806"/>
      <c r="M301" s="304"/>
      <c r="N301" s="804"/>
      <c r="O301" s="805"/>
      <c r="P301" s="805"/>
      <c r="Q301" s="806"/>
      <c r="R301" s="304"/>
      <c r="S301" s="804"/>
      <c r="T301" s="805"/>
      <c r="U301" s="805"/>
      <c r="V301" s="806"/>
      <c r="W301" s="304"/>
      <c r="X301" s="336"/>
      <c r="Y301" s="337"/>
      <c r="Z301" s="338"/>
      <c r="AA301" s="339"/>
      <c r="AB301" s="266"/>
      <c r="AC301" s="449"/>
    </row>
    <row r="302" spans="1:29" s="199" customFormat="1" ht="13.5" customHeight="1">
      <c r="A302" s="503"/>
      <c r="B302" s="894"/>
      <c r="C302" s="289"/>
      <c r="D302" s="804"/>
      <c r="E302" s="805"/>
      <c r="F302" s="805"/>
      <c r="G302" s="806"/>
      <c r="H302" s="304"/>
      <c r="I302" s="804"/>
      <c r="J302" s="805"/>
      <c r="K302" s="805"/>
      <c r="L302" s="806"/>
      <c r="M302" s="304"/>
      <c r="N302" s="804"/>
      <c r="O302" s="805"/>
      <c r="P302" s="805"/>
      <c r="Q302" s="806"/>
      <c r="R302" s="304"/>
      <c r="S302" s="804"/>
      <c r="T302" s="805"/>
      <c r="U302" s="805"/>
      <c r="V302" s="806"/>
      <c r="W302" s="304"/>
      <c r="X302" s="336"/>
      <c r="Y302" s="337"/>
      <c r="Z302" s="338"/>
      <c r="AA302" s="339"/>
      <c r="AB302" s="266"/>
      <c r="AC302" s="449"/>
    </row>
    <row r="303" spans="1:29" s="199" customFormat="1" ht="13.5" customHeight="1">
      <c r="A303" s="503"/>
      <c r="B303" s="894"/>
      <c r="C303" s="289"/>
      <c r="D303" s="804"/>
      <c r="E303" s="805"/>
      <c r="F303" s="805"/>
      <c r="G303" s="806"/>
      <c r="H303" s="304"/>
      <c r="I303" s="804"/>
      <c r="J303" s="805"/>
      <c r="K303" s="805"/>
      <c r="L303" s="806"/>
      <c r="M303" s="304"/>
      <c r="N303" s="804"/>
      <c r="O303" s="805"/>
      <c r="P303" s="805"/>
      <c r="Q303" s="806"/>
      <c r="R303" s="304"/>
      <c r="S303" s="804"/>
      <c r="T303" s="805"/>
      <c r="U303" s="805"/>
      <c r="V303" s="806"/>
      <c r="W303" s="304"/>
      <c r="X303" s="336"/>
      <c r="Y303" s="337"/>
      <c r="Z303" s="338"/>
      <c r="AA303" s="339"/>
      <c r="AB303" s="266"/>
      <c r="AC303" s="449"/>
    </row>
    <row r="304" spans="1:29" s="199" customFormat="1" ht="13.5" customHeight="1">
      <c r="A304" s="503"/>
      <c r="B304" s="894"/>
      <c r="C304" s="289"/>
      <c r="D304" s="807"/>
      <c r="E304" s="808"/>
      <c r="F304" s="808"/>
      <c r="G304" s="809"/>
      <c r="H304" s="304"/>
      <c r="I304" s="807"/>
      <c r="J304" s="808"/>
      <c r="K304" s="808"/>
      <c r="L304" s="809"/>
      <c r="M304" s="304"/>
      <c r="N304" s="807"/>
      <c r="O304" s="808"/>
      <c r="P304" s="808"/>
      <c r="Q304" s="809"/>
      <c r="R304" s="304"/>
      <c r="S304" s="807"/>
      <c r="T304" s="808"/>
      <c r="U304" s="808"/>
      <c r="V304" s="809"/>
      <c r="W304" s="304"/>
      <c r="X304" s="336"/>
      <c r="Y304" s="337"/>
      <c r="Z304" s="338"/>
      <c r="AA304" s="339"/>
      <c r="AB304" s="266"/>
      <c r="AC304" s="449"/>
    </row>
    <row r="305" spans="1:29" s="199" customFormat="1" ht="13.5" customHeight="1">
      <c r="A305" s="503"/>
      <c r="B305" s="894"/>
      <c r="C305" s="289"/>
      <c r="D305" s="782" t="s">
        <v>552</v>
      </c>
      <c r="E305" s="783"/>
      <c r="F305" s="783"/>
      <c r="G305" s="784"/>
      <c r="H305" s="304"/>
      <c r="I305" s="782" t="s">
        <v>550</v>
      </c>
      <c r="J305" s="783"/>
      <c r="K305" s="783"/>
      <c r="L305" s="784"/>
      <c r="M305" s="304"/>
      <c r="N305" s="782" t="s">
        <v>551</v>
      </c>
      <c r="O305" s="783"/>
      <c r="P305" s="783"/>
      <c r="Q305" s="784"/>
      <c r="R305" s="304"/>
      <c r="S305" s="782" t="s">
        <v>549</v>
      </c>
      <c r="T305" s="783"/>
      <c r="U305" s="783"/>
      <c r="V305" s="784"/>
      <c r="W305" s="304"/>
      <c r="X305" s="336"/>
      <c r="Y305" s="337"/>
      <c r="Z305" s="338"/>
      <c r="AA305" s="339"/>
      <c r="AB305" s="266"/>
      <c r="AC305" s="449"/>
    </row>
    <row r="306" spans="1:29" s="199" customFormat="1" ht="27" customHeight="1">
      <c r="A306" s="503"/>
      <c r="B306" s="894"/>
      <c r="C306" s="289"/>
      <c r="D306" s="779" t="s">
        <v>553</v>
      </c>
      <c r="E306" s="780"/>
      <c r="F306" s="780"/>
      <c r="G306" s="781"/>
      <c r="H306" s="320"/>
      <c r="I306" s="779" t="s">
        <v>554</v>
      </c>
      <c r="J306" s="780"/>
      <c r="K306" s="780"/>
      <c r="L306" s="781"/>
      <c r="M306" s="320"/>
      <c r="N306" s="779" t="s">
        <v>555</v>
      </c>
      <c r="O306" s="780"/>
      <c r="P306" s="780"/>
      <c r="Q306" s="781"/>
      <c r="R306" s="304"/>
      <c r="S306" s="779" t="s">
        <v>556</v>
      </c>
      <c r="T306" s="780"/>
      <c r="U306" s="780"/>
      <c r="V306" s="781"/>
      <c r="W306" s="304"/>
      <c r="X306" s="336"/>
      <c r="Y306" s="337"/>
      <c r="Z306" s="338"/>
      <c r="AA306" s="339"/>
      <c r="AB306" s="266"/>
      <c r="AC306" s="449"/>
    </row>
    <row r="307" spans="1:29" s="199" customFormat="1" ht="16.149999999999999" customHeight="1">
      <c r="A307" s="503"/>
      <c r="B307" s="894"/>
      <c r="C307" s="289"/>
      <c r="D307" s="759">
        <v>17</v>
      </c>
      <c r="E307" s="760"/>
      <c r="F307" s="769">
        <v>0</v>
      </c>
      <c r="G307" s="770"/>
      <c r="H307" s="359"/>
      <c r="I307" s="759">
        <v>18</v>
      </c>
      <c r="J307" s="760"/>
      <c r="K307" s="769">
        <v>0</v>
      </c>
      <c r="L307" s="770"/>
      <c r="M307" s="304"/>
      <c r="N307" s="759">
        <v>21</v>
      </c>
      <c r="O307" s="760"/>
      <c r="P307" s="769">
        <v>0</v>
      </c>
      <c r="Q307" s="770"/>
      <c r="R307" s="304"/>
      <c r="S307" s="759">
        <v>0.5</v>
      </c>
      <c r="T307" s="760"/>
      <c r="U307" s="769">
        <v>0</v>
      </c>
      <c r="V307" s="770"/>
      <c r="W307" s="304"/>
      <c r="X307" s="336"/>
      <c r="Y307" s="337"/>
      <c r="Z307" s="338"/>
      <c r="AA307" s="339"/>
      <c r="AB307" s="266"/>
      <c r="AC307" s="449"/>
    </row>
    <row r="308" spans="1:29" s="631" customFormat="1" ht="16.149999999999999" customHeight="1">
      <c r="A308" s="624"/>
      <c r="B308" s="894"/>
      <c r="C308" s="289"/>
      <c r="D308" s="612">
        <f>D307*G308</f>
        <v>170</v>
      </c>
      <c r="E308" s="613"/>
      <c r="F308" s="625" t="s">
        <v>333</v>
      </c>
      <c r="G308" s="626">
        <v>10</v>
      </c>
      <c r="H308" s="611"/>
      <c r="I308" s="612">
        <f>I307*L308</f>
        <v>180</v>
      </c>
      <c r="J308" s="613"/>
      <c r="K308" s="625" t="s">
        <v>333</v>
      </c>
      <c r="L308" s="626">
        <v>10</v>
      </c>
      <c r="M308" s="611"/>
      <c r="N308" s="612">
        <f>N307*Q308</f>
        <v>210</v>
      </c>
      <c r="O308" s="613"/>
      <c r="P308" s="625" t="s">
        <v>333</v>
      </c>
      <c r="Q308" s="626">
        <v>10</v>
      </c>
      <c r="R308" s="611"/>
      <c r="S308" s="612">
        <f>S307*V308</f>
        <v>200</v>
      </c>
      <c r="T308" s="613"/>
      <c r="U308" s="625" t="s">
        <v>333</v>
      </c>
      <c r="V308" s="626">
        <v>400</v>
      </c>
      <c r="W308" s="627"/>
      <c r="X308" s="628"/>
      <c r="Y308" s="628"/>
      <c r="Z308" s="628"/>
      <c r="AA308" s="628"/>
      <c r="AB308" s="629"/>
      <c r="AC308" s="630"/>
    </row>
    <row r="309" spans="1:29" s="199" customFormat="1" ht="27" customHeight="1" thickBot="1">
      <c r="A309" s="503"/>
      <c r="B309" s="266"/>
      <c r="C309" s="266"/>
      <c r="D309" s="323"/>
      <c r="E309" s="310"/>
      <c r="F309" s="311"/>
      <c r="G309" s="324"/>
      <c r="H309" s="305"/>
      <c r="I309" s="321"/>
      <c r="J309" s="321"/>
      <c r="K309" s="321"/>
      <c r="L309" s="321"/>
      <c r="M309" s="305"/>
      <c r="N309" s="321"/>
      <c r="O309" s="321"/>
      <c r="P309" s="321"/>
      <c r="Q309" s="321"/>
      <c r="R309" s="305"/>
      <c r="S309" s="321"/>
      <c r="T309" s="321"/>
      <c r="U309" s="321"/>
      <c r="V309" s="321"/>
      <c r="W309" s="305"/>
      <c r="X309" s="321"/>
      <c r="Y309" s="321"/>
      <c r="Z309" s="321"/>
      <c r="AA309" s="321"/>
      <c r="AB309" s="266"/>
      <c r="AC309" s="449"/>
    </row>
    <row r="310" spans="1:29" s="202" customFormat="1" ht="27" customHeight="1" thickTop="1">
      <c r="A310" s="509"/>
      <c r="B310" s="431"/>
      <c r="C310" s="431"/>
      <c r="D310" s="729" t="s">
        <v>121</v>
      </c>
      <c r="E310" s="729"/>
      <c r="F310" s="729"/>
      <c r="G310" s="729"/>
      <c r="H310" s="729"/>
      <c r="I310" s="729"/>
      <c r="J310" s="729"/>
      <c r="K310" s="729"/>
      <c r="L310" s="729"/>
      <c r="M310" s="729"/>
      <c r="N310" s="729"/>
      <c r="O310" s="729"/>
      <c r="P310" s="729"/>
      <c r="Q310" s="729"/>
      <c r="R310" s="729"/>
      <c r="S310" s="729"/>
      <c r="T310" s="729"/>
      <c r="U310" s="729"/>
      <c r="V310" s="729"/>
      <c r="W310" s="729"/>
      <c r="X310" s="729"/>
      <c r="Y310" s="729"/>
      <c r="Z310" s="729"/>
      <c r="AA310" s="729"/>
      <c r="AB310" s="431"/>
      <c r="AC310" s="455"/>
    </row>
    <row r="311" spans="1:29" s="202" customFormat="1" ht="19.899999999999999" customHeight="1">
      <c r="A311" s="509"/>
      <c r="B311" s="272"/>
      <c r="C311" s="272"/>
      <c r="D311" s="352"/>
      <c r="E311" s="352"/>
      <c r="F311" s="352"/>
      <c r="G311" s="352"/>
      <c r="H311" s="352"/>
      <c r="I311" s="352"/>
      <c r="J311" s="352"/>
      <c r="K311" s="352"/>
      <c r="L311" s="352"/>
      <c r="M311" s="352"/>
      <c r="N311" s="352"/>
      <c r="O311" s="352"/>
      <c r="P311" s="352"/>
      <c r="Q311" s="352"/>
      <c r="R311" s="352"/>
      <c r="S311" s="352"/>
      <c r="T311" s="352"/>
      <c r="U311" s="352"/>
      <c r="V311" s="352"/>
      <c r="W311" s="325"/>
      <c r="X311" s="325"/>
      <c r="Y311" s="325"/>
      <c r="Z311" s="325"/>
      <c r="AA311" s="325"/>
      <c r="AB311" s="272"/>
      <c r="AC311" s="455"/>
    </row>
    <row r="312" spans="1:29" ht="14.25">
      <c r="A312" s="496"/>
      <c r="B312" s="265"/>
      <c r="C312" s="265"/>
      <c r="D312" s="766"/>
      <c r="E312" s="767"/>
      <c r="F312" s="767"/>
      <c r="G312" s="768"/>
      <c r="H312" s="304"/>
      <c r="I312" s="766"/>
      <c r="J312" s="767"/>
      <c r="K312" s="767"/>
      <c r="L312" s="768"/>
      <c r="M312" s="304"/>
      <c r="N312" s="739"/>
      <c r="O312" s="740"/>
      <c r="P312" s="740"/>
      <c r="Q312" s="741"/>
      <c r="R312" s="304"/>
      <c r="S312" s="764"/>
      <c r="T312" s="764"/>
      <c r="U312" s="764"/>
      <c r="V312" s="764"/>
      <c r="W312" s="301"/>
      <c r="X312" s="905"/>
      <c r="Y312" s="905"/>
      <c r="Z312" s="905"/>
      <c r="AA312" s="905"/>
      <c r="AB312" s="265"/>
    </row>
    <row r="313" spans="1:29" ht="14.25">
      <c r="A313" s="496"/>
      <c r="B313" s="265"/>
      <c r="C313" s="265"/>
      <c r="D313" s="742"/>
      <c r="E313" s="743"/>
      <c r="F313" s="743"/>
      <c r="G313" s="744"/>
      <c r="H313" s="304"/>
      <c r="I313" s="742"/>
      <c r="J313" s="743"/>
      <c r="K313" s="743"/>
      <c r="L313" s="744"/>
      <c r="M313" s="304"/>
      <c r="N313" s="742"/>
      <c r="O313" s="743"/>
      <c r="P313" s="743"/>
      <c r="Q313" s="744"/>
      <c r="R313" s="304"/>
      <c r="S313" s="764"/>
      <c r="T313" s="764"/>
      <c r="U313" s="764"/>
      <c r="V313" s="764"/>
      <c r="W313" s="301"/>
      <c r="X313" s="905"/>
      <c r="Y313" s="905"/>
      <c r="Z313" s="905"/>
      <c r="AA313" s="905"/>
      <c r="AB313" s="265"/>
    </row>
    <row r="314" spans="1:29" ht="14.25">
      <c r="A314" s="496"/>
      <c r="B314" s="265"/>
      <c r="C314" s="265"/>
      <c r="D314" s="329"/>
      <c r="E314" s="330"/>
      <c r="F314" s="330"/>
      <c r="G314" s="331"/>
      <c r="H314" s="304"/>
      <c r="I314" s="329"/>
      <c r="J314" s="330"/>
      <c r="K314" s="330"/>
      <c r="L314" s="331"/>
      <c r="M314" s="304"/>
      <c r="N314" s="329"/>
      <c r="O314" s="330"/>
      <c r="P314" s="330"/>
      <c r="Q314" s="331"/>
      <c r="R314" s="304"/>
      <c r="S314" s="335"/>
      <c r="T314" s="335"/>
      <c r="U314" s="335"/>
      <c r="V314" s="335"/>
      <c r="W314" s="301"/>
      <c r="X314" s="306"/>
      <c r="Y314" s="306"/>
      <c r="Z314" s="306"/>
      <c r="AA314" s="306"/>
      <c r="AB314" s="265"/>
    </row>
    <row r="315" spans="1:29" ht="14.25">
      <c r="A315" s="496"/>
      <c r="B315" s="265"/>
      <c r="C315" s="265"/>
      <c r="D315" s="742"/>
      <c r="E315" s="743"/>
      <c r="F315" s="743"/>
      <c r="G315" s="744"/>
      <c r="H315" s="304"/>
      <c r="I315" s="742"/>
      <c r="J315" s="743"/>
      <c r="K315" s="743"/>
      <c r="L315" s="744"/>
      <c r="M315" s="304"/>
      <c r="N315" s="742"/>
      <c r="O315" s="743"/>
      <c r="P315" s="743"/>
      <c r="Q315" s="744"/>
      <c r="R315" s="304"/>
      <c r="S315" s="764"/>
      <c r="T315" s="764"/>
      <c r="U315" s="764"/>
      <c r="V315" s="764"/>
      <c r="W315" s="301"/>
      <c r="X315" s="905"/>
      <c r="Y315" s="905"/>
      <c r="Z315" s="905"/>
      <c r="AA315" s="905"/>
      <c r="AB315" s="265"/>
    </row>
    <row r="316" spans="1:29" ht="14.25">
      <c r="A316" s="496"/>
      <c r="B316" s="265"/>
      <c r="C316" s="265"/>
      <c r="D316" s="742"/>
      <c r="E316" s="743"/>
      <c r="F316" s="743"/>
      <c r="G316" s="744"/>
      <c r="H316" s="304"/>
      <c r="I316" s="742"/>
      <c r="J316" s="743"/>
      <c r="K316" s="743"/>
      <c r="L316" s="744"/>
      <c r="M316" s="304"/>
      <c r="N316" s="742"/>
      <c r="O316" s="743"/>
      <c r="P316" s="743"/>
      <c r="Q316" s="744"/>
      <c r="R316" s="304"/>
      <c r="S316" s="764"/>
      <c r="T316" s="764"/>
      <c r="U316" s="764"/>
      <c r="V316" s="764"/>
      <c r="W316" s="301"/>
      <c r="X316" s="905"/>
      <c r="Y316" s="905"/>
      <c r="Z316" s="905"/>
      <c r="AA316" s="905"/>
      <c r="AB316" s="265"/>
    </row>
    <row r="317" spans="1:29" s="200" customFormat="1" ht="15">
      <c r="A317" s="505"/>
      <c r="B317" s="265"/>
      <c r="C317" s="265"/>
      <c r="D317" s="745"/>
      <c r="E317" s="746"/>
      <c r="F317" s="746"/>
      <c r="G317" s="747"/>
      <c r="H317" s="304"/>
      <c r="I317" s="745"/>
      <c r="J317" s="746"/>
      <c r="K317" s="746"/>
      <c r="L317" s="747"/>
      <c r="M317" s="304"/>
      <c r="N317" s="745"/>
      <c r="O317" s="746"/>
      <c r="P317" s="746"/>
      <c r="Q317" s="747"/>
      <c r="R317" s="304"/>
      <c r="S317" s="764"/>
      <c r="T317" s="764"/>
      <c r="U317" s="764"/>
      <c r="V317" s="764"/>
      <c r="W317" s="301"/>
      <c r="X317" s="905"/>
      <c r="Y317" s="905"/>
      <c r="Z317" s="905"/>
      <c r="AA317" s="905"/>
      <c r="AB317" s="265"/>
      <c r="AC317" s="451"/>
    </row>
    <row r="318" spans="1:29" ht="15">
      <c r="A318" s="496"/>
      <c r="B318" s="265"/>
      <c r="C318" s="265"/>
      <c r="D318" s="794" t="s">
        <v>207</v>
      </c>
      <c r="E318" s="795"/>
      <c r="F318" s="795"/>
      <c r="G318" s="796"/>
      <c r="H318" s="304"/>
      <c r="I318" s="794" t="s">
        <v>208</v>
      </c>
      <c r="J318" s="795"/>
      <c r="K318" s="795"/>
      <c r="L318" s="796"/>
      <c r="M318" s="304"/>
      <c r="N318" s="794" t="s">
        <v>209</v>
      </c>
      <c r="O318" s="795"/>
      <c r="P318" s="795"/>
      <c r="Q318" s="796"/>
      <c r="R318" s="304"/>
      <c r="S318" s="765"/>
      <c r="T318" s="765"/>
      <c r="U318" s="765"/>
      <c r="V318" s="765"/>
      <c r="W318" s="301"/>
      <c r="X318" s="1077"/>
      <c r="Y318" s="1077"/>
      <c r="Z318" s="1077"/>
      <c r="AA318" s="1077"/>
      <c r="AB318" s="265"/>
    </row>
    <row r="319" spans="1:29" s="193" customFormat="1" ht="27" customHeight="1">
      <c r="A319" s="499"/>
      <c r="B319" s="270"/>
      <c r="C319" s="270"/>
      <c r="D319" s="779" t="s">
        <v>476</v>
      </c>
      <c r="E319" s="780"/>
      <c r="F319" s="797"/>
      <c r="G319" s="798"/>
      <c r="H319" s="320"/>
      <c r="I319" s="779" t="s">
        <v>648</v>
      </c>
      <c r="J319" s="780"/>
      <c r="K319" s="797"/>
      <c r="L319" s="798"/>
      <c r="M319" s="320"/>
      <c r="N319" s="779" t="s">
        <v>651</v>
      </c>
      <c r="O319" s="780"/>
      <c r="P319" s="797"/>
      <c r="Q319" s="798"/>
      <c r="R319" s="320"/>
      <c r="S319" s="326"/>
      <c r="T319" s="326"/>
      <c r="U319" s="326"/>
      <c r="V319" s="326"/>
      <c r="W319" s="320"/>
      <c r="X319" s="830"/>
      <c r="Y319" s="830"/>
      <c r="Z319" s="830"/>
      <c r="AA319" s="830"/>
      <c r="AB319" s="270"/>
      <c r="AC319" s="423"/>
    </row>
    <row r="320" spans="1:29" ht="16.149999999999999" customHeight="1">
      <c r="A320" s="496"/>
      <c r="B320" s="265"/>
      <c r="C320" s="265"/>
      <c r="D320" s="788">
        <v>210</v>
      </c>
      <c r="E320" s="1055"/>
      <c r="F320" s="824">
        <v>0</v>
      </c>
      <c r="G320" s="825"/>
      <c r="H320" s="304"/>
      <c r="I320" s="810">
        <v>110</v>
      </c>
      <c r="J320" s="811"/>
      <c r="K320" s="824">
        <v>0</v>
      </c>
      <c r="L320" s="825"/>
      <c r="M320" s="304"/>
      <c r="N320" s="810">
        <v>77</v>
      </c>
      <c r="O320" s="811"/>
      <c r="P320" s="824">
        <v>0</v>
      </c>
      <c r="Q320" s="825"/>
      <c r="R320" s="304"/>
      <c r="S320" s="822"/>
      <c r="T320" s="822"/>
      <c r="U320" s="754"/>
      <c r="V320" s="754"/>
      <c r="W320" s="301"/>
      <c r="X320" s="878"/>
      <c r="Y320" s="878"/>
      <c r="Z320" s="1076"/>
      <c r="AA320" s="1076"/>
      <c r="AB320" s="265"/>
    </row>
    <row r="321" spans="1:29" ht="27" customHeight="1" thickBot="1">
      <c r="A321" s="496"/>
      <c r="B321" s="265"/>
      <c r="C321" s="265"/>
      <c r="D321" s="327"/>
      <c r="E321" s="327"/>
      <c r="F321" s="327"/>
      <c r="G321" s="327"/>
      <c r="H321" s="316"/>
      <c r="I321" s="327"/>
      <c r="J321" s="327"/>
      <c r="K321" s="327"/>
      <c r="L321" s="327"/>
      <c r="M321" s="316"/>
      <c r="N321" s="327"/>
      <c r="O321" s="327"/>
      <c r="P321" s="327"/>
      <c r="Q321" s="327"/>
      <c r="R321" s="316"/>
      <c r="S321" s="327"/>
      <c r="T321" s="327"/>
      <c r="U321" s="327"/>
      <c r="V321" s="327"/>
      <c r="W321" s="316"/>
      <c r="X321" s="327"/>
      <c r="Y321" s="327"/>
      <c r="Z321" s="327"/>
      <c r="AA321" s="327"/>
      <c r="AB321" s="265"/>
    </row>
    <row r="322" spans="1:29" s="203" customFormat="1" ht="27" customHeight="1" thickTop="1">
      <c r="A322" s="510"/>
      <c r="B322" s="280"/>
      <c r="C322" s="280"/>
      <c r="D322" s="729" t="s">
        <v>119</v>
      </c>
      <c r="E322" s="729"/>
      <c r="F322" s="729"/>
      <c r="G322" s="729"/>
      <c r="H322" s="729"/>
      <c r="I322" s="729"/>
      <c r="J322" s="729"/>
      <c r="K322" s="729"/>
      <c r="L322" s="729"/>
      <c r="M322" s="729"/>
      <c r="N322" s="729"/>
      <c r="O322" s="729"/>
      <c r="P322" s="729"/>
      <c r="Q322" s="729"/>
      <c r="R322" s="729"/>
      <c r="S322" s="729"/>
      <c r="T322" s="729"/>
      <c r="U322" s="729"/>
      <c r="V322" s="729"/>
      <c r="W322" s="729"/>
      <c r="X322" s="729"/>
      <c r="Y322" s="729"/>
      <c r="Z322" s="729"/>
      <c r="AA322" s="729"/>
      <c r="AB322" s="280"/>
      <c r="AC322" s="456"/>
    </row>
    <row r="323" spans="1:29" s="202" customFormat="1" ht="20.65" customHeight="1">
      <c r="A323" s="509"/>
      <c r="B323" s="272"/>
      <c r="C323" s="272"/>
      <c r="D323" s="352"/>
      <c r="E323" s="352"/>
      <c r="F323" s="352"/>
      <c r="G323" s="352"/>
      <c r="H323" s="352"/>
      <c r="I323" s="352"/>
      <c r="J323" s="352"/>
      <c r="K323" s="352"/>
      <c r="L323" s="352"/>
      <c r="M323" s="352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272"/>
      <c r="AC323" s="455"/>
    </row>
    <row r="324" spans="1:29" ht="14.25">
      <c r="A324" s="496"/>
      <c r="B324" s="728" t="s">
        <v>270</v>
      </c>
      <c r="C324" s="276"/>
      <c r="D324" s="739"/>
      <c r="E324" s="740"/>
      <c r="F324" s="740"/>
      <c r="G324" s="741"/>
      <c r="H324" s="304"/>
      <c r="I324" s="739"/>
      <c r="J324" s="740"/>
      <c r="K324" s="740"/>
      <c r="L324" s="741"/>
      <c r="M324" s="304"/>
      <c r="N324" s="766"/>
      <c r="O324" s="767"/>
      <c r="P324" s="767"/>
      <c r="Q324" s="768"/>
      <c r="R324" s="304"/>
      <c r="S324" s="764"/>
      <c r="T324" s="764"/>
      <c r="U324" s="764"/>
      <c r="V324" s="764"/>
      <c r="W324" s="304"/>
      <c r="X324" s="764"/>
      <c r="Y324" s="764"/>
      <c r="Z324" s="764"/>
      <c r="AA324" s="764"/>
      <c r="AB324" s="265"/>
    </row>
    <row r="325" spans="1:29" ht="14.25">
      <c r="A325" s="496"/>
      <c r="B325" s="728"/>
      <c r="C325" s="276"/>
      <c r="D325" s="742"/>
      <c r="E325" s="743"/>
      <c r="F325" s="743"/>
      <c r="G325" s="744"/>
      <c r="H325" s="304"/>
      <c r="I325" s="742"/>
      <c r="J325" s="743"/>
      <c r="K325" s="743"/>
      <c r="L325" s="744"/>
      <c r="M325" s="304"/>
      <c r="N325" s="761"/>
      <c r="O325" s="762"/>
      <c r="P325" s="762"/>
      <c r="Q325" s="763"/>
      <c r="R325" s="304"/>
      <c r="S325" s="764"/>
      <c r="T325" s="764"/>
      <c r="U325" s="764"/>
      <c r="V325" s="764"/>
      <c r="W325" s="304"/>
      <c r="X325" s="764"/>
      <c r="Y325" s="764"/>
      <c r="Z325" s="764"/>
      <c r="AA325" s="764"/>
      <c r="AB325" s="265"/>
    </row>
    <row r="326" spans="1:29" ht="14.25">
      <c r="A326" s="496"/>
      <c r="B326" s="728"/>
      <c r="C326" s="276"/>
      <c r="D326" s="329"/>
      <c r="E326" s="330"/>
      <c r="F326" s="330"/>
      <c r="G326" s="331"/>
      <c r="H326" s="304"/>
      <c r="I326" s="329"/>
      <c r="J326" s="330"/>
      <c r="K326" s="330"/>
      <c r="L326" s="331"/>
      <c r="M326" s="304"/>
      <c r="N326" s="347"/>
      <c r="O326" s="348"/>
      <c r="P326" s="348"/>
      <c r="Q326" s="349"/>
      <c r="R326" s="304"/>
      <c r="S326" s="335"/>
      <c r="T326" s="335"/>
      <c r="U326" s="335"/>
      <c r="V326" s="335"/>
      <c r="W326" s="304"/>
      <c r="X326" s="335"/>
      <c r="Y326" s="335"/>
      <c r="Z326" s="335"/>
      <c r="AA326" s="335"/>
      <c r="AB326" s="265"/>
    </row>
    <row r="327" spans="1:29" ht="14.25">
      <c r="A327" s="496"/>
      <c r="B327" s="728"/>
      <c r="C327" s="276"/>
      <c r="D327" s="742"/>
      <c r="E327" s="743"/>
      <c r="F327" s="743"/>
      <c r="G327" s="744"/>
      <c r="H327" s="304"/>
      <c r="I327" s="742"/>
      <c r="J327" s="743"/>
      <c r="K327" s="743"/>
      <c r="L327" s="744"/>
      <c r="M327" s="304"/>
      <c r="N327" s="761"/>
      <c r="O327" s="762"/>
      <c r="P327" s="762"/>
      <c r="Q327" s="763"/>
      <c r="R327" s="304"/>
      <c r="S327" s="764"/>
      <c r="T327" s="764"/>
      <c r="U327" s="764"/>
      <c r="V327" s="764"/>
      <c r="W327" s="304"/>
      <c r="X327" s="764"/>
      <c r="Y327" s="764"/>
      <c r="Z327" s="764"/>
      <c r="AA327" s="764"/>
      <c r="AB327" s="265"/>
    </row>
    <row r="328" spans="1:29" ht="14.25">
      <c r="A328" s="496"/>
      <c r="B328" s="728"/>
      <c r="C328" s="276"/>
      <c r="D328" s="742"/>
      <c r="E328" s="743"/>
      <c r="F328" s="743"/>
      <c r="G328" s="744"/>
      <c r="H328" s="304"/>
      <c r="I328" s="742"/>
      <c r="J328" s="743"/>
      <c r="K328" s="743"/>
      <c r="L328" s="744"/>
      <c r="M328" s="304"/>
      <c r="N328" s="761"/>
      <c r="O328" s="762"/>
      <c r="P328" s="762"/>
      <c r="Q328" s="763"/>
      <c r="R328" s="304"/>
      <c r="S328" s="764"/>
      <c r="T328" s="764"/>
      <c r="U328" s="764"/>
      <c r="V328" s="764"/>
      <c r="W328" s="304"/>
      <c r="X328" s="764"/>
      <c r="Y328" s="764"/>
      <c r="Z328" s="764"/>
      <c r="AA328" s="764"/>
      <c r="AB328" s="265"/>
    </row>
    <row r="329" spans="1:29" ht="14.25">
      <c r="A329" s="496"/>
      <c r="B329" s="728"/>
      <c r="C329" s="276"/>
      <c r="D329" s="742"/>
      <c r="E329" s="743"/>
      <c r="F329" s="743"/>
      <c r="G329" s="744"/>
      <c r="H329" s="304"/>
      <c r="I329" s="742"/>
      <c r="J329" s="743"/>
      <c r="K329" s="743"/>
      <c r="L329" s="744"/>
      <c r="M329" s="304"/>
      <c r="N329" s="761"/>
      <c r="O329" s="762"/>
      <c r="P329" s="762"/>
      <c r="Q329" s="763"/>
      <c r="R329" s="304"/>
      <c r="S329" s="764"/>
      <c r="T329" s="764"/>
      <c r="U329" s="764"/>
      <c r="V329" s="764"/>
      <c r="W329" s="304"/>
      <c r="X329" s="764"/>
      <c r="Y329" s="764"/>
      <c r="Z329" s="764"/>
      <c r="AA329" s="764"/>
      <c r="AB329" s="265"/>
    </row>
    <row r="330" spans="1:29" ht="15">
      <c r="A330" s="496"/>
      <c r="B330" s="728"/>
      <c r="C330" s="276"/>
      <c r="D330" s="794" t="s">
        <v>245</v>
      </c>
      <c r="E330" s="795"/>
      <c r="F330" s="795"/>
      <c r="G330" s="796"/>
      <c r="H330" s="304"/>
      <c r="I330" s="794" t="s">
        <v>229</v>
      </c>
      <c r="J330" s="795"/>
      <c r="K330" s="795"/>
      <c r="L330" s="796"/>
      <c r="M330" s="304"/>
      <c r="N330" s="794" t="s">
        <v>247</v>
      </c>
      <c r="O330" s="795"/>
      <c r="P330" s="795"/>
      <c r="Q330" s="796"/>
      <c r="R330" s="304"/>
      <c r="S330" s="765"/>
      <c r="T330" s="765"/>
      <c r="U330" s="765"/>
      <c r="V330" s="765"/>
      <c r="W330" s="304"/>
      <c r="X330" s="765"/>
      <c r="Y330" s="765"/>
      <c r="Z330" s="765"/>
      <c r="AA330" s="765"/>
      <c r="AB330" s="265"/>
    </row>
    <row r="331" spans="1:29" s="204" customFormat="1" ht="27" customHeight="1">
      <c r="A331" s="511"/>
      <c r="B331" s="728"/>
      <c r="C331" s="276"/>
      <c r="D331" s="779" t="s">
        <v>356</v>
      </c>
      <c r="E331" s="780"/>
      <c r="F331" s="797"/>
      <c r="G331" s="798"/>
      <c r="H331" s="320"/>
      <c r="I331" s="779" t="s">
        <v>357</v>
      </c>
      <c r="J331" s="780"/>
      <c r="K331" s="797"/>
      <c r="L331" s="798"/>
      <c r="M331" s="320"/>
      <c r="N331" s="779" t="s">
        <v>575</v>
      </c>
      <c r="O331" s="780"/>
      <c r="P331" s="797"/>
      <c r="Q331" s="798"/>
      <c r="R331" s="320"/>
      <c r="S331" s="830"/>
      <c r="T331" s="830"/>
      <c r="U331" s="830"/>
      <c r="V331" s="830"/>
      <c r="W331" s="320"/>
      <c r="X331" s="830"/>
      <c r="Y331" s="830"/>
      <c r="Z331" s="830"/>
      <c r="AA331" s="830"/>
      <c r="AB331" s="273"/>
      <c r="AC331" s="457"/>
    </row>
    <row r="332" spans="1:29" s="193" customFormat="1" ht="16.149999999999999" customHeight="1">
      <c r="A332" s="499"/>
      <c r="B332" s="728"/>
      <c r="C332" s="276"/>
      <c r="D332" s="810">
        <v>7.0000000000000007E-2</v>
      </c>
      <c r="E332" s="811"/>
      <c r="F332" s="824">
        <v>0</v>
      </c>
      <c r="G332" s="825"/>
      <c r="H332" s="304"/>
      <c r="I332" s="810">
        <v>0.06</v>
      </c>
      <c r="J332" s="811"/>
      <c r="K332" s="824">
        <v>0</v>
      </c>
      <c r="L332" s="825"/>
      <c r="M332" s="304"/>
      <c r="N332" s="810">
        <v>7.0000000000000007E-2</v>
      </c>
      <c r="O332" s="811"/>
      <c r="P332" s="824">
        <v>0</v>
      </c>
      <c r="Q332" s="825"/>
      <c r="R332" s="304"/>
      <c r="S332" s="822"/>
      <c r="T332" s="822"/>
      <c r="U332" s="754"/>
      <c r="V332" s="754"/>
      <c r="W332" s="304"/>
      <c r="X332" s="822"/>
      <c r="Y332" s="822"/>
      <c r="Z332" s="754"/>
      <c r="AA332" s="754"/>
      <c r="AB332" s="265"/>
      <c r="AC332" s="423"/>
    </row>
    <row r="333" spans="1:29" s="528" customFormat="1" ht="16.149999999999999" customHeight="1">
      <c r="A333" s="524"/>
      <c r="B333" s="728"/>
      <c r="C333" s="276"/>
      <c r="D333" s="612">
        <f>D332*G333</f>
        <v>126.00000000000001</v>
      </c>
      <c r="E333" s="613"/>
      <c r="F333" s="609" t="s">
        <v>333</v>
      </c>
      <c r="G333" s="614">
        <v>1800</v>
      </c>
      <c r="H333" s="611"/>
      <c r="I333" s="612">
        <f>I332*L333</f>
        <v>216</v>
      </c>
      <c r="J333" s="613"/>
      <c r="K333" s="609" t="s">
        <v>333</v>
      </c>
      <c r="L333" s="614">
        <v>3600</v>
      </c>
      <c r="M333" s="611"/>
      <c r="N333" s="612">
        <f>N332*Q333</f>
        <v>140</v>
      </c>
      <c r="O333" s="613"/>
      <c r="P333" s="609" t="s">
        <v>333</v>
      </c>
      <c r="Q333" s="614">
        <v>2000</v>
      </c>
      <c r="R333" s="611"/>
      <c r="S333" s="615"/>
      <c r="T333" s="616"/>
      <c r="U333" s="617"/>
      <c r="V333" s="618"/>
      <c r="W333" s="611"/>
      <c r="X333" s="615"/>
      <c r="Y333" s="616"/>
      <c r="Z333" s="617"/>
      <c r="AA333" s="618"/>
      <c r="AB333" s="525"/>
      <c r="AC333" s="527"/>
    </row>
    <row r="334" spans="1:29" ht="14.25">
      <c r="A334" s="496"/>
      <c r="B334" s="276"/>
      <c r="C334" s="276"/>
      <c r="D334" s="336"/>
      <c r="E334" s="337"/>
      <c r="F334" s="338"/>
      <c r="G334" s="339"/>
      <c r="H334" s="304"/>
      <c r="I334" s="336"/>
      <c r="J334" s="337"/>
      <c r="K334" s="338"/>
      <c r="L334" s="339"/>
      <c r="M334" s="304"/>
      <c r="N334" s="336"/>
      <c r="O334" s="337"/>
      <c r="P334" s="338"/>
      <c r="Q334" s="339"/>
      <c r="R334" s="304"/>
      <c r="S334" s="336"/>
      <c r="T334" s="337"/>
      <c r="U334" s="338"/>
      <c r="V334" s="339"/>
      <c r="W334" s="304"/>
      <c r="X334" s="336"/>
      <c r="Y334" s="337"/>
      <c r="Z334" s="338"/>
      <c r="AA334" s="339"/>
      <c r="AB334" s="265"/>
    </row>
    <row r="335" spans="1:29" ht="14.25">
      <c r="A335" s="496"/>
      <c r="B335" s="728" t="s">
        <v>560</v>
      </c>
      <c r="C335" s="277"/>
      <c r="D335" s="739"/>
      <c r="E335" s="740"/>
      <c r="F335" s="740"/>
      <c r="G335" s="741"/>
      <c r="H335" s="304"/>
      <c r="I335" s="739"/>
      <c r="J335" s="740"/>
      <c r="K335" s="740"/>
      <c r="L335" s="741"/>
      <c r="M335" s="304"/>
      <c r="N335" s="766"/>
      <c r="O335" s="767"/>
      <c r="P335" s="767"/>
      <c r="Q335" s="768"/>
      <c r="R335" s="304"/>
      <c r="S335" s="336"/>
      <c r="T335" s="337"/>
      <c r="U335" s="338"/>
      <c r="V335" s="339"/>
      <c r="W335" s="304"/>
      <c r="X335" s="336"/>
      <c r="Y335" s="337"/>
      <c r="Z335" s="338"/>
      <c r="AA335" s="339"/>
      <c r="AB335" s="265"/>
    </row>
    <row r="336" spans="1:29" ht="14.25">
      <c r="A336" s="496"/>
      <c r="B336" s="728"/>
      <c r="C336" s="277"/>
      <c r="D336" s="742"/>
      <c r="E336" s="743"/>
      <c r="F336" s="743"/>
      <c r="G336" s="744"/>
      <c r="H336" s="304"/>
      <c r="I336" s="742"/>
      <c r="J336" s="743"/>
      <c r="K336" s="743"/>
      <c r="L336" s="744"/>
      <c r="M336" s="304"/>
      <c r="N336" s="804"/>
      <c r="O336" s="805"/>
      <c r="P336" s="805"/>
      <c r="Q336" s="806"/>
      <c r="R336" s="304"/>
      <c r="S336" s="336"/>
      <c r="T336" s="337"/>
      <c r="U336" s="338"/>
      <c r="V336" s="339"/>
      <c r="W336" s="304"/>
      <c r="X336" s="336"/>
      <c r="Y336" s="337"/>
      <c r="Z336" s="338"/>
      <c r="AA336" s="339"/>
      <c r="AB336" s="265"/>
    </row>
    <row r="337" spans="1:29" ht="14.25">
      <c r="A337" s="496"/>
      <c r="B337" s="728"/>
      <c r="C337" s="277"/>
      <c r="D337" s="329"/>
      <c r="E337" s="330"/>
      <c r="F337" s="330"/>
      <c r="G337" s="331"/>
      <c r="H337" s="304"/>
      <c r="I337" s="329"/>
      <c r="J337" s="330"/>
      <c r="K337" s="330"/>
      <c r="L337" s="331"/>
      <c r="M337" s="304"/>
      <c r="N337" s="804"/>
      <c r="O337" s="805"/>
      <c r="P337" s="805"/>
      <c r="Q337" s="806"/>
      <c r="R337" s="304"/>
      <c r="S337" s="336"/>
      <c r="T337" s="337"/>
      <c r="U337" s="338"/>
      <c r="V337" s="339"/>
      <c r="W337" s="304"/>
      <c r="X337" s="336"/>
      <c r="Y337" s="337"/>
      <c r="Z337" s="338"/>
      <c r="AA337" s="339"/>
      <c r="AB337" s="265"/>
    </row>
    <row r="338" spans="1:29" ht="14.25">
      <c r="A338" s="496"/>
      <c r="B338" s="728"/>
      <c r="C338" s="277"/>
      <c r="D338" s="742"/>
      <c r="E338" s="743"/>
      <c r="F338" s="743"/>
      <c r="G338" s="744"/>
      <c r="H338" s="304"/>
      <c r="I338" s="742"/>
      <c r="J338" s="743"/>
      <c r="K338" s="743"/>
      <c r="L338" s="744"/>
      <c r="M338" s="304"/>
      <c r="N338" s="804"/>
      <c r="O338" s="805"/>
      <c r="P338" s="805"/>
      <c r="Q338" s="806"/>
      <c r="R338" s="304"/>
      <c r="S338" s="336"/>
      <c r="T338" s="337"/>
      <c r="U338" s="338"/>
      <c r="V338" s="339"/>
      <c r="W338" s="304"/>
      <c r="X338" s="336"/>
      <c r="Y338" s="337"/>
      <c r="Z338" s="338"/>
      <c r="AA338" s="339"/>
      <c r="AB338" s="265"/>
    </row>
    <row r="339" spans="1:29" ht="14.25">
      <c r="A339" s="496"/>
      <c r="B339" s="728"/>
      <c r="C339" s="277"/>
      <c r="D339" s="742"/>
      <c r="E339" s="743"/>
      <c r="F339" s="743"/>
      <c r="G339" s="744"/>
      <c r="H339" s="304"/>
      <c r="I339" s="742"/>
      <c r="J339" s="743"/>
      <c r="K339" s="743"/>
      <c r="L339" s="744"/>
      <c r="M339" s="304"/>
      <c r="N339" s="804"/>
      <c r="O339" s="805"/>
      <c r="P339" s="805"/>
      <c r="Q339" s="806"/>
      <c r="R339" s="304"/>
      <c r="S339" s="336"/>
      <c r="T339" s="337"/>
      <c r="U339" s="338"/>
      <c r="V339" s="339"/>
      <c r="W339" s="304"/>
      <c r="X339" s="336"/>
      <c r="Y339" s="337"/>
      <c r="Z339" s="338"/>
      <c r="AA339" s="339"/>
      <c r="AB339" s="265"/>
    </row>
    <row r="340" spans="1:29" ht="14.25">
      <c r="A340" s="496"/>
      <c r="B340" s="728"/>
      <c r="C340" s="277"/>
      <c r="D340" s="745"/>
      <c r="E340" s="746"/>
      <c r="F340" s="746"/>
      <c r="G340" s="747"/>
      <c r="H340" s="304"/>
      <c r="I340" s="745"/>
      <c r="J340" s="746"/>
      <c r="K340" s="746"/>
      <c r="L340" s="747"/>
      <c r="M340" s="304"/>
      <c r="N340" s="807"/>
      <c r="O340" s="808"/>
      <c r="P340" s="808"/>
      <c r="Q340" s="809"/>
      <c r="R340" s="304"/>
      <c r="S340" s="336"/>
      <c r="T340" s="337"/>
      <c r="U340" s="338"/>
      <c r="V340" s="339"/>
      <c r="W340" s="304"/>
      <c r="X340" s="336"/>
      <c r="Y340" s="337"/>
      <c r="Z340" s="338"/>
      <c r="AA340" s="339"/>
      <c r="AB340" s="265"/>
    </row>
    <row r="341" spans="1:29" ht="15">
      <c r="A341" s="496"/>
      <c r="B341" s="728"/>
      <c r="C341" s="277"/>
      <c r="D341" s="794" t="s">
        <v>331</v>
      </c>
      <c r="E341" s="795"/>
      <c r="F341" s="795"/>
      <c r="G341" s="796"/>
      <c r="H341" s="304"/>
      <c r="I341" s="794" t="s">
        <v>332</v>
      </c>
      <c r="J341" s="795"/>
      <c r="K341" s="795"/>
      <c r="L341" s="796"/>
      <c r="M341" s="304"/>
      <c r="N341" s="794" t="s">
        <v>561</v>
      </c>
      <c r="O341" s="795"/>
      <c r="P341" s="795"/>
      <c r="Q341" s="796"/>
      <c r="R341" s="304"/>
      <c r="S341" s="336"/>
      <c r="T341" s="337"/>
      <c r="U341" s="338"/>
      <c r="V341" s="339"/>
      <c r="W341" s="304"/>
      <c r="X341" s="336"/>
      <c r="Y341" s="337"/>
      <c r="Z341" s="338"/>
      <c r="AA341" s="339"/>
      <c r="AB341" s="265"/>
    </row>
    <row r="342" spans="1:29" ht="27" customHeight="1">
      <c r="A342" s="496"/>
      <c r="B342" s="728"/>
      <c r="C342" s="277"/>
      <c r="D342" s="779" t="s">
        <v>358</v>
      </c>
      <c r="E342" s="780"/>
      <c r="F342" s="797"/>
      <c r="G342" s="798"/>
      <c r="H342" s="320"/>
      <c r="I342" s="779" t="s">
        <v>359</v>
      </c>
      <c r="J342" s="780"/>
      <c r="K342" s="797"/>
      <c r="L342" s="798"/>
      <c r="M342" s="304"/>
      <c r="N342" s="779" t="s">
        <v>576</v>
      </c>
      <c r="O342" s="780"/>
      <c r="P342" s="797"/>
      <c r="Q342" s="798"/>
      <c r="R342" s="304"/>
      <c r="S342" s="336"/>
      <c r="T342" s="337"/>
      <c r="U342" s="338"/>
      <c r="V342" s="339"/>
      <c r="W342" s="304"/>
      <c r="X342" s="336"/>
      <c r="Y342" s="337"/>
      <c r="Z342" s="338"/>
      <c r="AA342" s="339"/>
      <c r="AB342" s="265"/>
    </row>
    <row r="343" spans="1:29" ht="16.149999999999999" customHeight="1">
      <c r="A343" s="496"/>
      <c r="B343" s="728"/>
      <c r="C343" s="277"/>
      <c r="D343" s="810">
        <v>7.0000000000000007E-2</v>
      </c>
      <c r="E343" s="811"/>
      <c r="F343" s="824">
        <v>0</v>
      </c>
      <c r="G343" s="825"/>
      <c r="H343" s="304"/>
      <c r="I343" s="810">
        <v>0.06</v>
      </c>
      <c r="J343" s="811"/>
      <c r="K343" s="824">
        <v>0</v>
      </c>
      <c r="L343" s="825"/>
      <c r="M343" s="304"/>
      <c r="N343" s="810">
        <v>7.0000000000000007E-2</v>
      </c>
      <c r="O343" s="811"/>
      <c r="P343" s="824">
        <v>0</v>
      </c>
      <c r="Q343" s="825"/>
      <c r="R343" s="304"/>
      <c r="S343" s="336"/>
      <c r="T343" s="337"/>
      <c r="U343" s="338"/>
      <c r="V343" s="339"/>
      <c r="W343" s="304"/>
      <c r="X343" s="336"/>
      <c r="Y343" s="337"/>
      <c r="Z343" s="338"/>
      <c r="AA343" s="339"/>
      <c r="AB343" s="265"/>
    </row>
    <row r="344" spans="1:29" s="528" customFormat="1" ht="16.149999999999999" customHeight="1">
      <c r="A344" s="524"/>
      <c r="B344" s="728"/>
      <c r="C344" s="277"/>
      <c r="D344" s="612">
        <f>D343*G344</f>
        <v>126.00000000000001</v>
      </c>
      <c r="E344" s="613"/>
      <c r="F344" s="609" t="s">
        <v>333</v>
      </c>
      <c r="G344" s="614">
        <v>1800</v>
      </c>
      <c r="H344" s="611"/>
      <c r="I344" s="612">
        <f>I343*L344</f>
        <v>216</v>
      </c>
      <c r="J344" s="613"/>
      <c r="K344" s="609" t="s">
        <v>333</v>
      </c>
      <c r="L344" s="614">
        <v>3600</v>
      </c>
      <c r="M344" s="611"/>
      <c r="N344" s="612">
        <f>N343*Q344</f>
        <v>140</v>
      </c>
      <c r="O344" s="613"/>
      <c r="P344" s="609" t="s">
        <v>333</v>
      </c>
      <c r="Q344" s="614">
        <v>2000</v>
      </c>
      <c r="R344" s="611"/>
      <c r="S344" s="615"/>
      <c r="T344" s="616"/>
      <c r="U344" s="617"/>
      <c r="V344" s="618"/>
      <c r="W344" s="611"/>
      <c r="X344" s="615"/>
      <c r="Y344" s="616"/>
      <c r="Z344" s="617"/>
      <c r="AA344" s="618"/>
      <c r="AB344" s="525"/>
      <c r="AC344" s="527"/>
    </row>
    <row r="345" spans="1:29" ht="14.25">
      <c r="A345" s="496"/>
      <c r="B345" s="276"/>
      <c r="C345" s="276"/>
      <c r="D345" s="336"/>
      <c r="E345" s="337"/>
      <c r="F345" s="338"/>
      <c r="G345" s="339"/>
      <c r="H345" s="304"/>
      <c r="I345" s="336"/>
      <c r="J345" s="337"/>
      <c r="K345" s="338"/>
      <c r="L345" s="339"/>
      <c r="M345" s="304"/>
      <c r="N345" s="336"/>
      <c r="O345" s="337"/>
      <c r="P345" s="338"/>
      <c r="Q345" s="339"/>
      <c r="R345" s="304"/>
      <c r="S345" s="336"/>
      <c r="T345" s="337"/>
      <c r="U345" s="338"/>
      <c r="V345" s="339"/>
      <c r="W345" s="304"/>
      <c r="X345" s="336"/>
      <c r="Y345" s="337"/>
      <c r="Z345" s="338"/>
      <c r="AA345" s="339"/>
      <c r="AB345" s="265"/>
    </row>
    <row r="346" spans="1:29" ht="14.25">
      <c r="A346" s="496"/>
      <c r="B346" s="265"/>
      <c r="C346" s="265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265"/>
    </row>
    <row r="347" spans="1:29" ht="13.15" customHeight="1">
      <c r="A347" s="496"/>
      <c r="B347" s="728" t="s">
        <v>271</v>
      </c>
      <c r="C347" s="276"/>
      <c r="D347" s="353"/>
      <c r="E347" s="354"/>
      <c r="F347" s="354"/>
      <c r="G347" s="355"/>
      <c r="H347" s="304"/>
      <c r="I347" s="739"/>
      <c r="J347" s="740"/>
      <c r="K347" s="740"/>
      <c r="L347" s="741"/>
      <c r="M347" s="304"/>
      <c r="N347" s="739"/>
      <c r="O347" s="740"/>
      <c r="P347" s="740"/>
      <c r="Q347" s="740"/>
      <c r="R347" s="356"/>
      <c r="S347" s="740"/>
      <c r="T347" s="740"/>
      <c r="U347" s="740"/>
      <c r="V347" s="741"/>
      <c r="W347" s="304"/>
      <c r="X347" s="764"/>
      <c r="Y347" s="764"/>
      <c r="Z347" s="764"/>
      <c r="AA347" s="764"/>
      <c r="AB347" s="265"/>
    </row>
    <row r="348" spans="1:29" ht="13.15" customHeight="1">
      <c r="A348" s="496"/>
      <c r="B348" s="728"/>
      <c r="C348" s="276"/>
      <c r="D348" s="329"/>
      <c r="E348" s="330"/>
      <c r="F348" s="330"/>
      <c r="G348" s="331"/>
      <c r="H348" s="304"/>
      <c r="I348" s="742"/>
      <c r="J348" s="743"/>
      <c r="K348" s="743"/>
      <c r="L348" s="744"/>
      <c r="M348" s="304"/>
      <c r="N348" s="742"/>
      <c r="O348" s="743"/>
      <c r="P348" s="743"/>
      <c r="Q348" s="743"/>
      <c r="R348" s="356"/>
      <c r="S348" s="743"/>
      <c r="T348" s="743"/>
      <c r="U348" s="743"/>
      <c r="V348" s="744"/>
      <c r="W348" s="304"/>
      <c r="X348" s="764"/>
      <c r="Y348" s="764"/>
      <c r="Z348" s="764"/>
      <c r="AA348" s="764"/>
      <c r="AB348" s="265"/>
    </row>
    <row r="349" spans="1:29" ht="13.15" customHeight="1">
      <c r="A349" s="496"/>
      <c r="B349" s="728"/>
      <c r="C349" s="276"/>
      <c r="D349" s="329"/>
      <c r="E349" s="330"/>
      <c r="F349" s="330"/>
      <c r="G349" s="331"/>
      <c r="H349" s="304"/>
      <c r="I349" s="329"/>
      <c r="J349" s="330"/>
      <c r="K349" s="330"/>
      <c r="L349" s="331"/>
      <c r="M349" s="304"/>
      <c r="N349" s="329"/>
      <c r="O349" s="330"/>
      <c r="P349" s="330"/>
      <c r="Q349" s="330"/>
      <c r="R349" s="356"/>
      <c r="S349" s="330"/>
      <c r="T349" s="330"/>
      <c r="U349" s="330"/>
      <c r="V349" s="331"/>
      <c r="W349" s="304"/>
      <c r="X349" s="335"/>
      <c r="Y349" s="335"/>
      <c r="Z349" s="335"/>
      <c r="AA349" s="335"/>
      <c r="AB349" s="265"/>
    </row>
    <row r="350" spans="1:29" ht="13.15" customHeight="1">
      <c r="A350" s="496"/>
      <c r="B350" s="728"/>
      <c r="C350" s="276"/>
      <c r="D350" s="329"/>
      <c r="E350" s="330"/>
      <c r="F350" s="330"/>
      <c r="G350" s="331"/>
      <c r="H350" s="304"/>
      <c r="I350" s="742"/>
      <c r="J350" s="743"/>
      <c r="K350" s="743"/>
      <c r="L350" s="744"/>
      <c r="M350" s="304"/>
      <c r="N350" s="742"/>
      <c r="O350" s="743"/>
      <c r="P350" s="743"/>
      <c r="Q350" s="743"/>
      <c r="R350" s="356"/>
      <c r="S350" s="743"/>
      <c r="T350" s="743"/>
      <c r="U350" s="743"/>
      <c r="V350" s="744"/>
      <c r="W350" s="304"/>
      <c r="X350" s="764"/>
      <c r="Y350" s="764"/>
      <c r="Z350" s="764"/>
      <c r="AA350" s="764"/>
      <c r="AB350" s="265"/>
    </row>
    <row r="351" spans="1:29" ht="13.15" customHeight="1">
      <c r="A351" s="496"/>
      <c r="B351" s="728"/>
      <c r="C351" s="276"/>
      <c r="D351" s="329"/>
      <c r="E351" s="330"/>
      <c r="F351" s="330"/>
      <c r="G351" s="331"/>
      <c r="H351" s="304"/>
      <c r="I351" s="742"/>
      <c r="J351" s="743"/>
      <c r="K351" s="743"/>
      <c r="L351" s="744"/>
      <c r="M351" s="304"/>
      <c r="N351" s="742"/>
      <c r="O351" s="743"/>
      <c r="P351" s="743"/>
      <c r="Q351" s="743"/>
      <c r="R351" s="356"/>
      <c r="S351" s="743"/>
      <c r="T351" s="743"/>
      <c r="U351" s="743"/>
      <c r="V351" s="744"/>
      <c r="W351" s="304"/>
      <c r="X351" s="764"/>
      <c r="Y351" s="764"/>
      <c r="Z351" s="764"/>
      <c r="AA351" s="764"/>
      <c r="AB351" s="265"/>
    </row>
    <row r="352" spans="1:29" ht="13.15" customHeight="1">
      <c r="A352" s="496"/>
      <c r="B352" s="728"/>
      <c r="C352" s="276"/>
      <c r="D352" s="329"/>
      <c r="E352" s="330"/>
      <c r="F352" s="330"/>
      <c r="G352" s="331"/>
      <c r="H352" s="304"/>
      <c r="I352" s="742"/>
      <c r="J352" s="743"/>
      <c r="K352" s="743"/>
      <c r="L352" s="744"/>
      <c r="M352" s="304"/>
      <c r="N352" s="742"/>
      <c r="O352" s="743"/>
      <c r="P352" s="743"/>
      <c r="Q352" s="743"/>
      <c r="R352" s="356"/>
      <c r="S352" s="743"/>
      <c r="T352" s="743"/>
      <c r="U352" s="743"/>
      <c r="V352" s="744"/>
      <c r="W352" s="304"/>
      <c r="X352" s="764"/>
      <c r="Y352" s="764"/>
      <c r="Z352" s="764"/>
      <c r="AA352" s="764"/>
      <c r="AB352" s="265"/>
    </row>
    <row r="353" spans="1:29" ht="15">
      <c r="A353" s="496"/>
      <c r="B353" s="728"/>
      <c r="C353" s="276"/>
      <c r="D353" s="794" t="s">
        <v>484</v>
      </c>
      <c r="E353" s="795"/>
      <c r="F353" s="795"/>
      <c r="G353" s="796"/>
      <c r="H353" s="304"/>
      <c r="I353" s="794" t="s">
        <v>485</v>
      </c>
      <c r="J353" s="795"/>
      <c r="K353" s="795"/>
      <c r="L353" s="796"/>
      <c r="M353" s="304"/>
      <c r="N353" s="794" t="s">
        <v>210</v>
      </c>
      <c r="O353" s="795"/>
      <c r="P353" s="795"/>
      <c r="Q353" s="796"/>
      <c r="R353" s="304"/>
      <c r="S353" s="794" t="s">
        <v>486</v>
      </c>
      <c r="T353" s="795"/>
      <c r="U353" s="795"/>
      <c r="V353" s="796"/>
      <c r="W353" s="304"/>
      <c r="X353" s="765"/>
      <c r="Y353" s="765"/>
      <c r="Z353" s="765"/>
      <c r="AA353" s="765"/>
      <c r="AB353" s="265"/>
    </row>
    <row r="354" spans="1:29" s="204" customFormat="1" ht="27" customHeight="1">
      <c r="A354" s="511"/>
      <c r="B354" s="728"/>
      <c r="C354" s="276"/>
      <c r="D354" s="826" t="s">
        <v>644</v>
      </c>
      <c r="E354" s="827"/>
      <c r="F354" s="828"/>
      <c r="G354" s="829"/>
      <c r="H354" s="320"/>
      <c r="I354" s="826" t="s">
        <v>645</v>
      </c>
      <c r="J354" s="827"/>
      <c r="K354" s="828"/>
      <c r="L354" s="829"/>
      <c r="M354" s="320"/>
      <c r="N354" s="826" t="s">
        <v>646</v>
      </c>
      <c r="O354" s="827"/>
      <c r="P354" s="828"/>
      <c r="Q354" s="829"/>
      <c r="R354" s="320"/>
      <c r="S354" s="779" t="s">
        <v>491</v>
      </c>
      <c r="T354" s="780"/>
      <c r="U354" s="797"/>
      <c r="V354" s="798"/>
      <c r="W354" s="320"/>
      <c r="X354" s="830"/>
      <c r="Y354" s="830"/>
      <c r="Z354" s="830"/>
      <c r="AA354" s="830"/>
      <c r="AB354" s="273"/>
      <c r="AC354" s="457"/>
    </row>
    <row r="355" spans="1:29" s="193" customFormat="1" ht="16.149999999999999" customHeight="1">
      <c r="A355" s="499"/>
      <c r="B355" s="728"/>
      <c r="C355" s="276"/>
      <c r="D355" s="810">
        <v>3</v>
      </c>
      <c r="E355" s="1075"/>
      <c r="F355" s="824">
        <v>0</v>
      </c>
      <c r="G355" s="825"/>
      <c r="H355" s="304"/>
      <c r="I355" s="810">
        <v>3</v>
      </c>
      <c r="J355" s="811"/>
      <c r="K355" s="824">
        <v>0</v>
      </c>
      <c r="L355" s="825"/>
      <c r="M355" s="304"/>
      <c r="N355" s="810">
        <v>3</v>
      </c>
      <c r="O355" s="811"/>
      <c r="P355" s="824">
        <v>0</v>
      </c>
      <c r="Q355" s="825"/>
      <c r="R355" s="304"/>
      <c r="S355" s="810">
        <v>1</v>
      </c>
      <c r="T355" s="811"/>
      <c r="U355" s="824">
        <v>0</v>
      </c>
      <c r="V355" s="825"/>
      <c r="W355" s="304"/>
      <c r="X355" s="822"/>
      <c r="Y355" s="822"/>
      <c r="Z355" s="754"/>
      <c r="AA355" s="754"/>
      <c r="AB355" s="265"/>
      <c r="AC355" s="423"/>
    </row>
    <row r="356" spans="1:29" s="528" customFormat="1" ht="14.25">
      <c r="A356" s="524"/>
      <c r="B356" s="276"/>
      <c r="C356" s="276"/>
      <c r="D356" s="619"/>
      <c r="E356" s="620"/>
      <c r="F356" s="621"/>
      <c r="G356" s="622"/>
      <c r="H356" s="623"/>
      <c r="I356" s="619"/>
      <c r="J356" s="620"/>
      <c r="K356" s="621"/>
      <c r="L356" s="622"/>
      <c r="M356" s="623"/>
      <c r="N356" s="619"/>
      <c r="O356" s="620"/>
      <c r="P356" s="621"/>
      <c r="Q356" s="622"/>
      <c r="R356" s="611"/>
      <c r="S356" s="612">
        <f>S355*V356</f>
        <v>200</v>
      </c>
      <c r="T356" s="613"/>
      <c r="U356" s="609" t="s">
        <v>333</v>
      </c>
      <c r="V356" s="614">
        <v>200</v>
      </c>
      <c r="W356" s="611"/>
      <c r="X356" s="615"/>
      <c r="Y356" s="616"/>
      <c r="Z356" s="617"/>
      <c r="AA356" s="618"/>
      <c r="AB356" s="525"/>
      <c r="AC356" s="527"/>
    </row>
    <row r="357" spans="1:29" ht="14.25">
      <c r="A357" s="496"/>
      <c r="B357" s="265"/>
      <c r="C357" s="265"/>
      <c r="D357" s="332"/>
      <c r="E357" s="332"/>
      <c r="F357" s="333"/>
      <c r="G357" s="334"/>
      <c r="H357" s="304"/>
      <c r="I357" s="332"/>
      <c r="J357" s="332"/>
      <c r="K357" s="333"/>
      <c r="L357" s="334"/>
      <c r="M357" s="304"/>
      <c r="N357" s="332"/>
      <c r="O357" s="332"/>
      <c r="P357" s="333"/>
      <c r="Q357" s="334"/>
      <c r="R357" s="304"/>
      <c r="S357" s="332"/>
      <c r="T357" s="332"/>
      <c r="U357" s="333"/>
      <c r="V357" s="334"/>
      <c r="W357" s="304"/>
      <c r="X357" s="332"/>
      <c r="Y357" s="332"/>
      <c r="Z357" s="333"/>
      <c r="AA357" s="334"/>
      <c r="AB357" s="265"/>
    </row>
    <row r="358" spans="1:29" ht="12.4" customHeight="1">
      <c r="A358" s="496"/>
      <c r="B358" s="728" t="s">
        <v>566</v>
      </c>
      <c r="C358" s="276"/>
      <c r="D358" s="766"/>
      <c r="E358" s="767"/>
      <c r="F358" s="767"/>
      <c r="G358" s="768"/>
      <c r="H358" s="304"/>
      <c r="I358" s="766"/>
      <c r="J358" s="767"/>
      <c r="K358" s="767"/>
      <c r="L358" s="768"/>
      <c r="M358" s="304"/>
      <c r="N358" s="739"/>
      <c r="O358" s="740"/>
      <c r="P358" s="740"/>
      <c r="Q358" s="741"/>
      <c r="R358" s="304"/>
      <c r="S358" s="766"/>
      <c r="T358" s="767"/>
      <c r="U358" s="767"/>
      <c r="V358" s="768"/>
      <c r="W358" s="304"/>
      <c r="X358" s="766"/>
      <c r="Y358" s="767"/>
      <c r="Z358" s="767"/>
      <c r="AA358" s="768"/>
      <c r="AB358" s="265"/>
    </row>
    <row r="359" spans="1:29" ht="14.25">
      <c r="A359" s="496"/>
      <c r="B359" s="728"/>
      <c r="C359" s="276"/>
      <c r="D359" s="761"/>
      <c r="E359" s="762"/>
      <c r="F359" s="762"/>
      <c r="G359" s="763"/>
      <c r="H359" s="304"/>
      <c r="I359" s="761"/>
      <c r="J359" s="762"/>
      <c r="K359" s="762"/>
      <c r="L359" s="763"/>
      <c r="M359" s="304"/>
      <c r="N359" s="742"/>
      <c r="O359" s="743"/>
      <c r="P359" s="743"/>
      <c r="Q359" s="744"/>
      <c r="R359" s="304"/>
      <c r="S359" s="804"/>
      <c r="T359" s="805"/>
      <c r="U359" s="805"/>
      <c r="V359" s="806"/>
      <c r="W359" s="304"/>
      <c r="X359" s="804"/>
      <c r="Y359" s="805"/>
      <c r="Z359" s="805"/>
      <c r="AA359" s="806"/>
      <c r="AB359" s="265"/>
    </row>
    <row r="360" spans="1:29" ht="14.25">
      <c r="A360" s="496"/>
      <c r="B360" s="728"/>
      <c r="C360" s="276"/>
      <c r="D360" s="347"/>
      <c r="E360" s="348"/>
      <c r="F360" s="348"/>
      <c r="G360" s="349"/>
      <c r="H360" s="304"/>
      <c r="I360" s="347"/>
      <c r="J360" s="348"/>
      <c r="K360" s="348"/>
      <c r="L360" s="349"/>
      <c r="M360" s="304"/>
      <c r="N360" s="329"/>
      <c r="O360" s="330"/>
      <c r="P360" s="330"/>
      <c r="Q360" s="331"/>
      <c r="R360" s="304"/>
      <c r="S360" s="804"/>
      <c r="T360" s="805"/>
      <c r="U360" s="805"/>
      <c r="V360" s="806"/>
      <c r="W360" s="304"/>
      <c r="X360" s="804"/>
      <c r="Y360" s="805"/>
      <c r="Z360" s="805"/>
      <c r="AA360" s="806"/>
      <c r="AB360" s="265"/>
    </row>
    <row r="361" spans="1:29" ht="14.25">
      <c r="A361" s="496"/>
      <c r="B361" s="728"/>
      <c r="C361" s="276"/>
      <c r="D361" s="761"/>
      <c r="E361" s="762"/>
      <c r="F361" s="762"/>
      <c r="G361" s="763"/>
      <c r="H361" s="304"/>
      <c r="I361" s="761"/>
      <c r="J361" s="762"/>
      <c r="K361" s="762"/>
      <c r="L361" s="763"/>
      <c r="M361" s="304"/>
      <c r="N361" s="742"/>
      <c r="O361" s="743"/>
      <c r="P361" s="743"/>
      <c r="Q361" s="744"/>
      <c r="R361" s="304"/>
      <c r="S361" s="804"/>
      <c r="T361" s="805"/>
      <c r="U361" s="805"/>
      <c r="V361" s="806"/>
      <c r="W361" s="304"/>
      <c r="X361" s="804"/>
      <c r="Y361" s="805"/>
      <c r="Z361" s="805"/>
      <c r="AA361" s="806"/>
      <c r="AB361" s="265"/>
    </row>
    <row r="362" spans="1:29" ht="14.25">
      <c r="A362" s="496"/>
      <c r="B362" s="728"/>
      <c r="C362" s="276"/>
      <c r="D362" s="761"/>
      <c r="E362" s="762"/>
      <c r="F362" s="762"/>
      <c r="G362" s="763"/>
      <c r="H362" s="304"/>
      <c r="I362" s="761"/>
      <c r="J362" s="762"/>
      <c r="K362" s="762"/>
      <c r="L362" s="763"/>
      <c r="M362" s="304"/>
      <c r="N362" s="742"/>
      <c r="O362" s="743"/>
      <c r="P362" s="743"/>
      <c r="Q362" s="744"/>
      <c r="R362" s="304"/>
      <c r="S362" s="804"/>
      <c r="T362" s="805"/>
      <c r="U362" s="805"/>
      <c r="V362" s="806"/>
      <c r="W362" s="304"/>
      <c r="X362" s="804"/>
      <c r="Y362" s="805"/>
      <c r="Z362" s="805"/>
      <c r="AA362" s="806"/>
      <c r="AB362" s="265"/>
    </row>
    <row r="363" spans="1:29" ht="14.25">
      <c r="A363" s="496"/>
      <c r="B363" s="728"/>
      <c r="C363" s="276"/>
      <c r="D363" s="891"/>
      <c r="E363" s="892"/>
      <c r="F363" s="892"/>
      <c r="G363" s="893"/>
      <c r="H363" s="304"/>
      <c r="I363" s="891"/>
      <c r="J363" s="892"/>
      <c r="K363" s="892"/>
      <c r="L363" s="893"/>
      <c r="M363" s="304"/>
      <c r="N363" s="745"/>
      <c r="O363" s="746"/>
      <c r="P363" s="746"/>
      <c r="Q363" s="747"/>
      <c r="R363" s="304"/>
      <c r="S363" s="807"/>
      <c r="T363" s="808"/>
      <c r="U363" s="808"/>
      <c r="V363" s="809"/>
      <c r="W363" s="304"/>
      <c r="X363" s="807"/>
      <c r="Y363" s="808"/>
      <c r="Z363" s="808"/>
      <c r="AA363" s="809"/>
      <c r="AB363" s="265"/>
    </row>
    <row r="364" spans="1:29" ht="15">
      <c r="A364" s="496"/>
      <c r="B364" s="728"/>
      <c r="C364" s="276"/>
      <c r="D364" s="782" t="s">
        <v>248</v>
      </c>
      <c r="E364" s="783"/>
      <c r="F364" s="783"/>
      <c r="G364" s="784"/>
      <c r="H364" s="304"/>
      <c r="I364" s="782" t="s">
        <v>267</v>
      </c>
      <c r="J364" s="783"/>
      <c r="K364" s="783"/>
      <c r="L364" s="784"/>
      <c r="M364" s="304"/>
      <c r="N364" s="794" t="s">
        <v>432</v>
      </c>
      <c r="O364" s="795"/>
      <c r="P364" s="795"/>
      <c r="Q364" s="796"/>
      <c r="R364" s="304"/>
      <c r="S364" s="794" t="s">
        <v>543</v>
      </c>
      <c r="T364" s="795"/>
      <c r="U364" s="795"/>
      <c r="V364" s="796"/>
      <c r="W364" s="304"/>
      <c r="X364" s="794" t="s">
        <v>542</v>
      </c>
      <c r="Y364" s="795"/>
      <c r="Z364" s="795"/>
      <c r="AA364" s="796"/>
      <c r="AB364" s="265"/>
    </row>
    <row r="365" spans="1:29" ht="27" customHeight="1">
      <c r="A365" s="496"/>
      <c r="B365" s="728"/>
      <c r="C365" s="276"/>
      <c r="D365" s="779" t="s">
        <v>583</v>
      </c>
      <c r="E365" s="780"/>
      <c r="F365" s="797"/>
      <c r="G365" s="798"/>
      <c r="H365" s="320"/>
      <c r="I365" s="779" t="s">
        <v>584</v>
      </c>
      <c r="J365" s="780"/>
      <c r="K365" s="797"/>
      <c r="L365" s="798"/>
      <c r="M365" s="320"/>
      <c r="N365" s="779" t="s">
        <v>585</v>
      </c>
      <c r="O365" s="780"/>
      <c r="P365" s="797"/>
      <c r="Q365" s="798"/>
      <c r="R365" s="304"/>
      <c r="S365" s="779" t="s">
        <v>544</v>
      </c>
      <c r="T365" s="780"/>
      <c r="U365" s="797"/>
      <c r="V365" s="798"/>
      <c r="W365" s="304"/>
      <c r="X365" s="779" t="s">
        <v>545</v>
      </c>
      <c r="Y365" s="780"/>
      <c r="Z365" s="797"/>
      <c r="AA365" s="798"/>
      <c r="AB365" s="273"/>
    </row>
    <row r="366" spans="1:29" ht="16.149999999999999" customHeight="1">
      <c r="A366" s="496"/>
      <c r="B366" s="728"/>
      <c r="C366" s="276"/>
      <c r="D366" s="788">
        <v>0.8</v>
      </c>
      <c r="E366" s="1055"/>
      <c r="F366" s="824">
        <v>0</v>
      </c>
      <c r="G366" s="825"/>
      <c r="H366" s="304"/>
      <c r="I366" s="788">
        <v>0.8</v>
      </c>
      <c r="J366" s="1055"/>
      <c r="K366" s="824">
        <v>0</v>
      </c>
      <c r="L366" s="825"/>
      <c r="M366" s="304"/>
      <c r="N366" s="788">
        <v>1</v>
      </c>
      <c r="O366" s="1055"/>
      <c r="P366" s="824">
        <v>0</v>
      </c>
      <c r="Q366" s="825"/>
      <c r="R366" s="304"/>
      <c r="S366" s="810">
        <v>16</v>
      </c>
      <c r="T366" s="811"/>
      <c r="U366" s="824">
        <v>0</v>
      </c>
      <c r="V366" s="825"/>
      <c r="W366" s="304"/>
      <c r="X366" s="810">
        <v>16</v>
      </c>
      <c r="Y366" s="811"/>
      <c r="Z366" s="824">
        <v>0</v>
      </c>
      <c r="AA366" s="825"/>
      <c r="AB366" s="265"/>
    </row>
    <row r="367" spans="1:29" s="528" customFormat="1" ht="16.149999999999999" customHeight="1">
      <c r="A367" s="524"/>
      <c r="B367" s="728"/>
      <c r="C367" s="276"/>
      <c r="D367" s="612">
        <f>D366*G367</f>
        <v>144</v>
      </c>
      <c r="E367" s="613"/>
      <c r="F367" s="609" t="s">
        <v>333</v>
      </c>
      <c r="G367" s="610">
        <v>180</v>
      </c>
      <c r="H367" s="611"/>
      <c r="I367" s="612">
        <f>I366*L367</f>
        <v>144</v>
      </c>
      <c r="J367" s="613"/>
      <c r="K367" s="609" t="s">
        <v>333</v>
      </c>
      <c r="L367" s="610">
        <v>180</v>
      </c>
      <c r="M367" s="611"/>
      <c r="N367" s="612">
        <f>N366*Q367</f>
        <v>90</v>
      </c>
      <c r="O367" s="613"/>
      <c r="P367" s="609" t="s">
        <v>333</v>
      </c>
      <c r="Q367" s="614">
        <v>90</v>
      </c>
      <c r="R367" s="611"/>
      <c r="S367" s="612">
        <f>S366*V367</f>
        <v>32</v>
      </c>
      <c r="T367" s="613"/>
      <c r="U367" s="609" t="s">
        <v>333</v>
      </c>
      <c r="V367" s="614">
        <v>2</v>
      </c>
      <c r="W367" s="611"/>
      <c r="X367" s="612">
        <f>X366*AA367</f>
        <v>32</v>
      </c>
      <c r="Y367" s="613"/>
      <c r="Z367" s="609" t="s">
        <v>333</v>
      </c>
      <c r="AA367" s="614">
        <v>2</v>
      </c>
      <c r="AB367" s="525"/>
      <c r="AC367" s="527"/>
    </row>
    <row r="368" spans="1:29" ht="14.25">
      <c r="A368" s="496"/>
      <c r="B368" s="728"/>
      <c r="C368" s="276"/>
      <c r="D368" s="336"/>
      <c r="E368" s="337"/>
      <c r="F368" s="338"/>
      <c r="G368" s="339"/>
      <c r="H368" s="304"/>
      <c r="I368" s="336"/>
      <c r="J368" s="337"/>
      <c r="K368" s="338"/>
      <c r="L368" s="339"/>
      <c r="M368" s="304"/>
      <c r="N368" s="336"/>
      <c r="O368" s="337"/>
      <c r="P368" s="338"/>
      <c r="Q368" s="339"/>
      <c r="R368" s="304"/>
      <c r="S368" s="336"/>
      <c r="T368" s="337"/>
      <c r="U368" s="338"/>
      <c r="V368" s="339"/>
      <c r="W368" s="304"/>
      <c r="X368" s="336"/>
      <c r="Y368" s="337"/>
      <c r="Z368" s="338"/>
      <c r="AA368" s="339"/>
      <c r="AB368" s="265"/>
    </row>
    <row r="369" spans="1:33" ht="14.25">
      <c r="A369" s="496"/>
      <c r="B369" s="728"/>
      <c r="C369" s="276"/>
      <c r="D369" s="739"/>
      <c r="E369" s="740"/>
      <c r="F369" s="740"/>
      <c r="G369" s="741"/>
      <c r="H369" s="304"/>
      <c r="I369" s="739"/>
      <c r="J369" s="740"/>
      <c r="K369" s="740"/>
      <c r="L369" s="741"/>
      <c r="M369" s="304"/>
      <c r="N369" s="336"/>
      <c r="O369" s="337"/>
      <c r="P369" s="338"/>
      <c r="Q369" s="339"/>
      <c r="R369" s="304"/>
      <c r="S369" s="336"/>
      <c r="T369" s="337"/>
      <c r="U369" s="338"/>
      <c r="V369" s="339"/>
      <c r="W369" s="304"/>
      <c r="X369" s="336"/>
      <c r="Y369" s="337"/>
      <c r="Z369" s="338"/>
      <c r="AA369" s="339"/>
      <c r="AB369" s="265"/>
    </row>
    <row r="370" spans="1:33" ht="14.25">
      <c r="A370" s="496"/>
      <c r="B370" s="728"/>
      <c r="C370" s="276"/>
      <c r="D370" s="742"/>
      <c r="E370" s="743"/>
      <c r="F370" s="743"/>
      <c r="G370" s="744"/>
      <c r="H370" s="304"/>
      <c r="I370" s="742"/>
      <c r="J370" s="743"/>
      <c r="K370" s="743"/>
      <c r="L370" s="744"/>
      <c r="M370" s="304"/>
      <c r="N370" s="336"/>
      <c r="O370" s="337"/>
      <c r="P370" s="338"/>
      <c r="Q370" s="339"/>
      <c r="R370" s="304"/>
      <c r="S370" s="336"/>
      <c r="T370" s="337"/>
      <c r="U370" s="338"/>
      <c r="V370" s="339"/>
      <c r="W370" s="304"/>
      <c r="X370" s="336"/>
      <c r="Y370" s="337"/>
      <c r="Z370" s="338"/>
      <c r="AA370" s="339"/>
      <c r="AB370" s="265"/>
    </row>
    <row r="371" spans="1:33" ht="14.25">
      <c r="A371" s="496"/>
      <c r="B371" s="728"/>
      <c r="C371" s="276"/>
      <c r="D371" s="329"/>
      <c r="E371" s="330"/>
      <c r="F371" s="330"/>
      <c r="G371" s="331"/>
      <c r="H371" s="304"/>
      <c r="I371" s="329"/>
      <c r="J371" s="330"/>
      <c r="K371" s="330"/>
      <c r="L371" s="331"/>
      <c r="M371" s="304"/>
      <c r="N371" s="336"/>
      <c r="O371" s="337"/>
      <c r="P371" s="338"/>
      <c r="Q371" s="339"/>
      <c r="R371" s="304"/>
      <c r="S371" s="336"/>
      <c r="T371" s="337"/>
      <c r="U371" s="338"/>
      <c r="V371" s="339"/>
      <c r="W371" s="304"/>
      <c r="X371" s="336"/>
      <c r="Y371" s="337"/>
      <c r="Z371" s="338"/>
      <c r="AA371" s="339"/>
      <c r="AB371" s="265"/>
    </row>
    <row r="372" spans="1:33" ht="14.25">
      <c r="A372" s="496"/>
      <c r="B372" s="728"/>
      <c r="C372" s="276"/>
      <c r="D372" s="742"/>
      <c r="E372" s="743"/>
      <c r="F372" s="743"/>
      <c r="G372" s="744"/>
      <c r="H372" s="304"/>
      <c r="I372" s="742"/>
      <c r="J372" s="743"/>
      <c r="K372" s="743"/>
      <c r="L372" s="744"/>
      <c r="M372" s="304"/>
      <c r="N372" s="336"/>
      <c r="O372" s="337"/>
      <c r="P372" s="338"/>
      <c r="Q372" s="339"/>
      <c r="R372" s="304"/>
      <c r="S372" s="336"/>
      <c r="T372" s="337"/>
      <c r="U372" s="338"/>
      <c r="V372" s="339"/>
      <c r="W372" s="304"/>
      <c r="X372" s="336"/>
      <c r="Y372" s="337"/>
      <c r="Z372" s="338"/>
      <c r="AA372" s="339"/>
      <c r="AB372" s="265"/>
    </row>
    <row r="373" spans="1:33" ht="14.25">
      <c r="A373" s="496"/>
      <c r="B373" s="728"/>
      <c r="C373" s="276"/>
      <c r="D373" s="742"/>
      <c r="E373" s="743"/>
      <c r="F373" s="743"/>
      <c r="G373" s="744"/>
      <c r="H373" s="304"/>
      <c r="I373" s="742"/>
      <c r="J373" s="743"/>
      <c r="K373" s="743"/>
      <c r="L373" s="744"/>
      <c r="M373" s="304"/>
      <c r="N373" s="336"/>
      <c r="O373" s="337"/>
      <c r="P373" s="338"/>
      <c r="Q373" s="339"/>
      <c r="R373" s="304"/>
      <c r="S373" s="336"/>
      <c r="T373" s="337"/>
      <c r="U373" s="338"/>
      <c r="V373" s="339"/>
      <c r="W373" s="304"/>
      <c r="X373" s="336"/>
      <c r="Y373" s="337"/>
      <c r="Z373" s="338"/>
      <c r="AA373" s="339"/>
      <c r="AB373" s="265"/>
    </row>
    <row r="374" spans="1:33" ht="14.25">
      <c r="A374" s="496"/>
      <c r="B374" s="728"/>
      <c r="C374" s="276"/>
      <c r="D374" s="745"/>
      <c r="E374" s="746"/>
      <c r="F374" s="746"/>
      <c r="G374" s="747"/>
      <c r="H374" s="304"/>
      <c r="I374" s="745"/>
      <c r="J374" s="746"/>
      <c r="K374" s="746"/>
      <c r="L374" s="747"/>
      <c r="M374" s="304"/>
      <c r="N374" s="336"/>
      <c r="O374" s="337"/>
      <c r="P374" s="338"/>
      <c r="Q374" s="339"/>
      <c r="R374" s="304"/>
      <c r="S374" s="336"/>
      <c r="T374" s="337"/>
      <c r="U374" s="338"/>
      <c r="V374" s="339"/>
      <c r="W374" s="304"/>
      <c r="X374" s="336"/>
      <c r="Y374" s="337"/>
      <c r="Z374" s="338"/>
      <c r="AA374" s="339"/>
      <c r="AB374" s="265"/>
    </row>
    <row r="375" spans="1:33" ht="15">
      <c r="A375" s="496"/>
      <c r="B375" s="728"/>
      <c r="C375" s="276"/>
      <c r="D375" s="794" t="s">
        <v>268</v>
      </c>
      <c r="E375" s="795"/>
      <c r="F375" s="795"/>
      <c r="G375" s="796"/>
      <c r="H375" s="304"/>
      <c r="I375" s="794" t="s">
        <v>269</v>
      </c>
      <c r="J375" s="795"/>
      <c r="K375" s="795"/>
      <c r="L375" s="796"/>
      <c r="M375" s="304"/>
      <c r="N375" s="336"/>
      <c r="O375" s="337"/>
      <c r="P375" s="338"/>
      <c r="Q375" s="339"/>
      <c r="R375" s="304"/>
      <c r="S375" s="336"/>
      <c r="T375" s="337"/>
      <c r="U375" s="338"/>
      <c r="V375" s="339"/>
      <c r="W375" s="304"/>
      <c r="X375" s="336"/>
      <c r="Y375" s="337"/>
      <c r="Z375" s="338"/>
      <c r="AA375" s="339"/>
      <c r="AB375" s="265"/>
    </row>
    <row r="376" spans="1:33" ht="27" customHeight="1">
      <c r="A376" s="496"/>
      <c r="B376" s="728"/>
      <c r="C376" s="276"/>
      <c r="D376" s="779" t="s">
        <v>581</v>
      </c>
      <c r="E376" s="780"/>
      <c r="F376" s="797"/>
      <c r="G376" s="798"/>
      <c r="H376" s="304"/>
      <c r="I376" s="779" t="s">
        <v>582</v>
      </c>
      <c r="J376" s="780"/>
      <c r="K376" s="797"/>
      <c r="L376" s="798"/>
      <c r="M376" s="304"/>
      <c r="N376" s="336"/>
      <c r="O376" s="337"/>
      <c r="P376" s="338"/>
      <c r="Q376" s="339"/>
      <c r="R376" s="304"/>
      <c r="S376" s="336"/>
      <c r="T376" s="337"/>
      <c r="U376" s="338"/>
      <c r="V376" s="339"/>
      <c r="W376" s="304"/>
      <c r="X376" s="336"/>
      <c r="Y376" s="337"/>
      <c r="Z376" s="338"/>
      <c r="AA376" s="339"/>
      <c r="AB376" s="265"/>
    </row>
    <row r="377" spans="1:33" ht="16.149999999999999" customHeight="1">
      <c r="A377" s="496"/>
      <c r="B377" s="728"/>
      <c r="C377" s="276"/>
      <c r="D377" s="810">
        <v>0.15</v>
      </c>
      <c r="E377" s="811"/>
      <c r="F377" s="824">
        <v>0</v>
      </c>
      <c r="G377" s="825"/>
      <c r="H377" s="304"/>
      <c r="I377" s="810">
        <v>0.06</v>
      </c>
      <c r="J377" s="811"/>
      <c r="K377" s="824">
        <v>0</v>
      </c>
      <c r="L377" s="825"/>
      <c r="M377" s="304"/>
      <c r="N377" s="336"/>
      <c r="O377" s="337"/>
      <c r="P377" s="338"/>
      <c r="Q377" s="339"/>
      <c r="R377" s="304"/>
      <c r="S377" s="336"/>
      <c r="T377" s="337"/>
      <c r="U377" s="338"/>
      <c r="V377" s="339"/>
      <c r="W377" s="304"/>
      <c r="X377" s="336"/>
      <c r="Y377" s="337"/>
      <c r="Z377" s="338"/>
      <c r="AA377" s="339"/>
      <c r="AB377" s="265"/>
    </row>
    <row r="378" spans="1:33" s="528" customFormat="1" ht="16.149999999999999" customHeight="1">
      <c r="A378" s="524"/>
      <c r="B378" s="728"/>
      <c r="C378" s="276"/>
      <c r="D378" s="612">
        <f>D377*G378</f>
        <v>120</v>
      </c>
      <c r="E378" s="613"/>
      <c r="F378" s="609" t="s">
        <v>333</v>
      </c>
      <c r="G378" s="614">
        <v>800</v>
      </c>
      <c r="H378" s="611"/>
      <c r="I378" s="612">
        <f>I377*L378</f>
        <v>180</v>
      </c>
      <c r="J378" s="613"/>
      <c r="K378" s="609" t="s">
        <v>333</v>
      </c>
      <c r="L378" s="614">
        <v>3000</v>
      </c>
      <c r="M378" s="611"/>
      <c r="N378" s="615"/>
      <c r="O378" s="616"/>
      <c r="P378" s="617"/>
      <c r="Q378" s="618"/>
      <c r="R378" s="611"/>
      <c r="S378" s="615"/>
      <c r="T378" s="616"/>
      <c r="U378" s="617"/>
      <c r="V378" s="618"/>
      <c r="W378" s="611"/>
      <c r="X378" s="615"/>
      <c r="Y378" s="616"/>
      <c r="Z378" s="617"/>
      <c r="AA378" s="618"/>
      <c r="AB378" s="525"/>
      <c r="AC378" s="527"/>
    </row>
    <row r="379" spans="1:33" ht="24" customHeight="1" thickBot="1">
      <c r="A379" s="496"/>
      <c r="B379" s="265"/>
      <c r="C379" s="265"/>
      <c r="D379" s="317"/>
      <c r="E379" s="317"/>
      <c r="F379" s="328"/>
      <c r="G379" s="318"/>
      <c r="H379" s="301"/>
      <c r="I379" s="317"/>
      <c r="J379" s="317"/>
      <c r="K379" s="328"/>
      <c r="L379" s="318"/>
      <c r="M379" s="301"/>
      <c r="N379" s="317"/>
      <c r="O379" s="317"/>
      <c r="P379" s="328"/>
      <c r="Q379" s="318"/>
      <c r="R379" s="301"/>
      <c r="S379" s="317"/>
      <c r="T379" s="317"/>
      <c r="U379" s="328"/>
      <c r="V379" s="318"/>
      <c r="W379" s="301"/>
      <c r="X379" s="317"/>
      <c r="Y379" s="317"/>
      <c r="Z379" s="328"/>
      <c r="AA379" s="318"/>
      <c r="AB379" s="265"/>
    </row>
    <row r="380" spans="1:33" s="291" customFormat="1" ht="27" customHeight="1" thickTop="1">
      <c r="A380" s="512"/>
      <c r="B380" s="290"/>
      <c r="C380" s="290"/>
      <c r="D380" s="729" t="s">
        <v>573</v>
      </c>
      <c r="E380" s="729"/>
      <c r="F380" s="729"/>
      <c r="G380" s="729"/>
      <c r="H380" s="729"/>
      <c r="I380" s="729"/>
      <c r="J380" s="729"/>
      <c r="K380" s="729"/>
      <c r="L380" s="729"/>
      <c r="M380" s="729"/>
      <c r="N380" s="729"/>
      <c r="O380" s="729"/>
      <c r="P380" s="729"/>
      <c r="Q380" s="729"/>
      <c r="R380" s="729"/>
      <c r="S380" s="729"/>
      <c r="T380" s="729"/>
      <c r="U380" s="729"/>
      <c r="V380" s="729"/>
      <c r="W380" s="729"/>
      <c r="X380" s="729"/>
      <c r="Y380" s="729"/>
      <c r="Z380" s="729"/>
      <c r="AA380" s="729"/>
      <c r="AB380" s="290"/>
      <c r="AC380" s="458"/>
    </row>
    <row r="381" spans="1:33" s="202" customFormat="1" ht="20.65" customHeight="1">
      <c r="A381" s="509"/>
      <c r="B381" s="268"/>
      <c r="C381" s="268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68"/>
      <c r="AC381" s="455"/>
    </row>
    <row r="382" spans="1:33" ht="13.15" customHeight="1">
      <c r="A382" s="496"/>
      <c r="B382" s="265"/>
      <c r="C382" s="265"/>
      <c r="D382" s="739"/>
      <c r="E382" s="740"/>
      <c r="F382" s="740"/>
      <c r="G382" s="741"/>
      <c r="H382" s="304"/>
      <c r="I382" s="766"/>
      <c r="J382" s="767"/>
      <c r="K382" s="767"/>
      <c r="L382" s="768"/>
      <c r="M382" s="304"/>
      <c r="N382" s="739"/>
      <c r="O382" s="740"/>
      <c r="P382" s="740"/>
      <c r="Q382" s="741"/>
      <c r="R382" s="304"/>
      <c r="S382" s="739"/>
      <c r="T382" s="740"/>
      <c r="U382" s="740"/>
      <c r="V382" s="741"/>
      <c r="W382" s="304"/>
      <c r="X382" s="739"/>
      <c r="Y382" s="740"/>
      <c r="Z382" s="740"/>
      <c r="AA382" s="741"/>
      <c r="AB382" s="265"/>
    </row>
    <row r="383" spans="1:33" ht="13.15" customHeight="1">
      <c r="A383" s="496"/>
      <c r="B383" s="265"/>
      <c r="C383" s="265"/>
      <c r="D383" s="742"/>
      <c r="E383" s="743"/>
      <c r="F383" s="743"/>
      <c r="G383" s="744"/>
      <c r="H383" s="304"/>
      <c r="I383" s="761"/>
      <c r="J383" s="762"/>
      <c r="K383" s="762"/>
      <c r="L383" s="763"/>
      <c r="M383" s="304"/>
      <c r="N383" s="742"/>
      <c r="O383" s="743"/>
      <c r="P383" s="743"/>
      <c r="Q383" s="744"/>
      <c r="R383" s="304"/>
      <c r="S383" s="742"/>
      <c r="T383" s="743"/>
      <c r="U383" s="743"/>
      <c r="V383" s="744"/>
      <c r="W383" s="304"/>
      <c r="X383" s="742"/>
      <c r="Y383" s="743"/>
      <c r="Z383" s="743"/>
      <c r="AA383" s="744"/>
      <c r="AB383" s="265"/>
    </row>
    <row r="384" spans="1:33" ht="13.15" customHeight="1">
      <c r="A384" s="496"/>
      <c r="B384" s="265"/>
      <c r="C384" s="265"/>
      <c r="D384" s="329"/>
      <c r="E384" s="330"/>
      <c r="F384" s="330"/>
      <c r="G384" s="331"/>
      <c r="H384" s="304"/>
      <c r="I384" s="347"/>
      <c r="J384" s="348"/>
      <c r="K384" s="348"/>
      <c r="L384" s="349"/>
      <c r="M384" s="304"/>
      <c r="N384" s="329"/>
      <c r="O384" s="330"/>
      <c r="P384" s="330"/>
      <c r="Q384" s="331"/>
      <c r="R384" s="304"/>
      <c r="S384" s="329"/>
      <c r="T384" s="330"/>
      <c r="U384" s="330"/>
      <c r="V384" s="331"/>
      <c r="W384" s="304"/>
      <c r="X384" s="329"/>
      <c r="Y384" s="330"/>
      <c r="Z384" s="330"/>
      <c r="AA384" s="331"/>
      <c r="AB384" s="265"/>
      <c r="AC384" s="422"/>
      <c r="AD384" s="422"/>
      <c r="AE384" s="422"/>
      <c r="AF384" s="422"/>
      <c r="AG384" s="422"/>
    </row>
    <row r="385" spans="1:34" ht="13.15" customHeight="1">
      <c r="A385" s="496"/>
      <c r="B385" s="265"/>
      <c r="C385" s="265"/>
      <c r="D385" s="742"/>
      <c r="E385" s="743"/>
      <c r="F385" s="743"/>
      <c r="G385" s="744"/>
      <c r="H385" s="304"/>
      <c r="I385" s="761"/>
      <c r="J385" s="762"/>
      <c r="K385" s="762"/>
      <c r="L385" s="763"/>
      <c r="M385" s="304"/>
      <c r="N385" s="742"/>
      <c r="O385" s="743"/>
      <c r="P385" s="743"/>
      <c r="Q385" s="744"/>
      <c r="R385" s="304"/>
      <c r="S385" s="742"/>
      <c r="T385" s="743"/>
      <c r="U385" s="743"/>
      <c r="V385" s="744"/>
      <c r="W385" s="304"/>
      <c r="X385" s="742"/>
      <c r="Y385" s="743"/>
      <c r="Z385" s="743"/>
      <c r="AA385" s="744"/>
      <c r="AB385" s="265"/>
      <c r="AC385" s="422"/>
      <c r="AD385" s="422"/>
      <c r="AE385" s="422"/>
      <c r="AF385" s="422"/>
      <c r="AG385" s="422"/>
      <c r="AH385" s="206"/>
    </row>
    <row r="386" spans="1:34" s="193" customFormat="1" ht="13.15" customHeight="1">
      <c r="A386" s="499"/>
      <c r="B386" s="265"/>
      <c r="C386" s="265"/>
      <c r="D386" s="742"/>
      <c r="E386" s="743"/>
      <c r="F386" s="743"/>
      <c r="G386" s="744"/>
      <c r="H386" s="304"/>
      <c r="I386" s="761"/>
      <c r="J386" s="762"/>
      <c r="K386" s="762"/>
      <c r="L386" s="763"/>
      <c r="M386" s="304"/>
      <c r="N386" s="742"/>
      <c r="O386" s="743"/>
      <c r="P386" s="743"/>
      <c r="Q386" s="744"/>
      <c r="R386" s="304"/>
      <c r="S386" s="742"/>
      <c r="T386" s="743"/>
      <c r="U386" s="743"/>
      <c r="V386" s="744"/>
      <c r="W386" s="304"/>
      <c r="X386" s="742"/>
      <c r="Y386" s="743"/>
      <c r="Z386" s="743"/>
      <c r="AA386" s="744"/>
      <c r="AB386" s="265"/>
      <c r="AC386" s="425"/>
      <c r="AD386" s="425"/>
      <c r="AE386" s="425"/>
      <c r="AF386" s="425"/>
      <c r="AG386" s="425"/>
      <c r="AH386" s="423"/>
    </row>
    <row r="387" spans="1:34" ht="13.15" customHeight="1">
      <c r="A387" s="496"/>
      <c r="B387" s="265"/>
      <c r="C387" s="265"/>
      <c r="D387" s="745"/>
      <c r="E387" s="746"/>
      <c r="F387" s="746"/>
      <c r="G387" s="747"/>
      <c r="H387" s="304"/>
      <c r="I387" s="891"/>
      <c r="J387" s="892"/>
      <c r="K387" s="892"/>
      <c r="L387" s="893"/>
      <c r="M387" s="304"/>
      <c r="N387" s="742"/>
      <c r="O387" s="743"/>
      <c r="P387" s="743"/>
      <c r="Q387" s="744"/>
      <c r="R387" s="304"/>
      <c r="S387" s="745"/>
      <c r="T387" s="746"/>
      <c r="U387" s="746"/>
      <c r="V387" s="747"/>
      <c r="W387" s="304"/>
      <c r="X387" s="745"/>
      <c r="Y387" s="746"/>
      <c r="Z387" s="746"/>
      <c r="AA387" s="747"/>
      <c r="AB387" s="265"/>
      <c r="AC387" s="422"/>
      <c r="AD387" s="1089"/>
      <c r="AE387" s="1089"/>
      <c r="AF387" s="1089"/>
      <c r="AG387" s="1089"/>
      <c r="AH387" s="206"/>
    </row>
    <row r="388" spans="1:34" ht="15">
      <c r="A388" s="496"/>
      <c r="B388" s="265"/>
      <c r="C388" s="265"/>
      <c r="D388" s="794" t="s">
        <v>212</v>
      </c>
      <c r="E388" s="795"/>
      <c r="F388" s="795"/>
      <c r="G388" s="796"/>
      <c r="H388" s="304"/>
      <c r="I388" s="794" t="s">
        <v>546</v>
      </c>
      <c r="J388" s="795"/>
      <c r="K388" s="795"/>
      <c r="L388" s="796"/>
      <c r="M388" s="304"/>
      <c r="N388" s="794" t="s">
        <v>586</v>
      </c>
      <c r="O388" s="795"/>
      <c r="P388" s="795"/>
      <c r="Q388" s="796"/>
      <c r="R388" s="304"/>
      <c r="S388" s="794" t="s">
        <v>211</v>
      </c>
      <c r="T388" s="795"/>
      <c r="U388" s="795"/>
      <c r="V388" s="796"/>
      <c r="W388" s="304"/>
      <c r="X388" s="794" t="s">
        <v>213</v>
      </c>
      <c r="Y388" s="795"/>
      <c r="Z388" s="795"/>
      <c r="AA388" s="796"/>
      <c r="AB388" s="265"/>
      <c r="AC388" s="1089"/>
      <c r="AD388" s="1089"/>
      <c r="AE388" s="1089"/>
      <c r="AF388" s="1089"/>
      <c r="AG388" s="422"/>
      <c r="AH388" s="206"/>
    </row>
    <row r="389" spans="1:34" s="188" customFormat="1" ht="27" customHeight="1">
      <c r="A389" s="265"/>
      <c r="B389" s="273"/>
      <c r="C389" s="273"/>
      <c r="D389" s="779" t="s">
        <v>606</v>
      </c>
      <c r="E389" s="780"/>
      <c r="F389" s="780"/>
      <c r="G389" s="781"/>
      <c r="H389" s="320"/>
      <c r="I389" s="779" t="s">
        <v>607</v>
      </c>
      <c r="J389" s="780"/>
      <c r="K389" s="780"/>
      <c r="L389" s="781"/>
      <c r="M389" s="320"/>
      <c r="N389" s="1063" t="s">
        <v>663</v>
      </c>
      <c r="O389" s="1064"/>
      <c r="P389" s="1064"/>
      <c r="Q389" s="1065"/>
      <c r="R389" s="320"/>
      <c r="S389" s="779" t="s">
        <v>608</v>
      </c>
      <c r="T389" s="780"/>
      <c r="U389" s="780"/>
      <c r="V389" s="781"/>
      <c r="W389" s="320"/>
      <c r="X389" s="779" t="s">
        <v>609</v>
      </c>
      <c r="Y389" s="780"/>
      <c r="Z389" s="780"/>
      <c r="AA389" s="781"/>
      <c r="AB389" s="273"/>
      <c r="AC389" s="422"/>
      <c r="AD389" s="1090"/>
      <c r="AE389" s="1090"/>
      <c r="AF389" s="1090"/>
      <c r="AG389" s="1090"/>
      <c r="AH389" s="206"/>
    </row>
    <row r="390" spans="1:34" ht="16.149999999999999" customHeight="1">
      <c r="A390" s="496"/>
      <c r="B390" s="265"/>
      <c r="C390" s="265"/>
      <c r="D390" s="1061">
        <v>9</v>
      </c>
      <c r="E390" s="1062"/>
      <c r="F390" s="928">
        <v>0</v>
      </c>
      <c r="G390" s="929"/>
      <c r="H390" s="304"/>
      <c r="I390" s="1061">
        <v>10.75</v>
      </c>
      <c r="J390" s="1062"/>
      <c r="K390" s="928">
        <v>0</v>
      </c>
      <c r="L390" s="929"/>
      <c r="M390" s="304"/>
      <c r="N390" s="1061">
        <v>12</v>
      </c>
      <c r="O390" s="1062"/>
      <c r="P390" s="928">
        <v>0</v>
      </c>
      <c r="Q390" s="929"/>
      <c r="R390" s="304"/>
      <c r="S390" s="939">
        <v>10</v>
      </c>
      <c r="T390" s="940"/>
      <c r="U390" s="928">
        <v>0</v>
      </c>
      <c r="V390" s="929"/>
      <c r="W390" s="304"/>
      <c r="X390" s="939">
        <v>13</v>
      </c>
      <c r="Y390" s="940"/>
      <c r="Z390" s="928">
        <v>0</v>
      </c>
      <c r="AA390" s="929"/>
      <c r="AB390" s="265"/>
      <c r="AC390" s="422"/>
      <c r="AD390" s="422"/>
      <c r="AE390" s="422"/>
      <c r="AF390" s="422"/>
      <c r="AG390" s="422"/>
      <c r="AH390" s="206"/>
    </row>
    <row r="391" spans="1:34" s="528" customFormat="1" ht="16.149999999999999" customHeight="1">
      <c r="A391" s="524"/>
      <c r="B391" s="525"/>
      <c r="C391" s="525"/>
      <c r="D391" s="607">
        <f>D390*G391</f>
        <v>54</v>
      </c>
      <c r="E391" s="608"/>
      <c r="F391" s="609" t="s">
        <v>333</v>
      </c>
      <c r="G391" s="610">
        <v>6</v>
      </c>
      <c r="H391" s="611"/>
      <c r="I391" s="607">
        <f>I390*L391</f>
        <v>64.5</v>
      </c>
      <c r="J391" s="608"/>
      <c r="K391" s="609" t="s">
        <v>333</v>
      </c>
      <c r="L391" s="610">
        <v>6</v>
      </c>
      <c r="M391" s="611"/>
      <c r="N391" s="607">
        <f>N390*Q391</f>
        <v>72</v>
      </c>
      <c r="O391" s="608"/>
      <c r="P391" s="609" t="s">
        <v>333</v>
      </c>
      <c r="Q391" s="610">
        <v>6</v>
      </c>
      <c r="R391" s="611"/>
      <c r="S391" s="607">
        <f>S390*V391</f>
        <v>40</v>
      </c>
      <c r="T391" s="608"/>
      <c r="U391" s="609" t="s">
        <v>333</v>
      </c>
      <c r="V391" s="610">
        <v>4</v>
      </c>
      <c r="W391" s="611"/>
      <c r="X391" s="607">
        <f>X390*AA391</f>
        <v>52</v>
      </c>
      <c r="Y391" s="608"/>
      <c r="Z391" s="609" t="s">
        <v>333</v>
      </c>
      <c r="AA391" s="610">
        <v>4</v>
      </c>
      <c r="AB391" s="525"/>
      <c r="AC391" s="527"/>
      <c r="AD391" s="527"/>
      <c r="AE391" s="527"/>
      <c r="AF391" s="527"/>
      <c r="AG391" s="527"/>
      <c r="AH391" s="527"/>
    </row>
    <row r="392" spans="1:34" ht="14.25">
      <c r="A392" s="496"/>
      <c r="B392" s="265"/>
      <c r="C392" s="265"/>
      <c r="D392" s="344"/>
      <c r="E392" s="344"/>
      <c r="F392" s="345"/>
      <c r="G392" s="345"/>
      <c r="H392" s="304"/>
      <c r="I392" s="344"/>
      <c r="J392" s="344"/>
      <c r="K392" s="345"/>
      <c r="L392" s="345"/>
      <c r="M392" s="304"/>
      <c r="N392" s="344"/>
      <c r="O392" s="344"/>
      <c r="P392" s="345"/>
      <c r="Q392" s="345"/>
      <c r="R392" s="304"/>
      <c r="S392" s="344"/>
      <c r="T392" s="344"/>
      <c r="U392" s="345"/>
      <c r="V392" s="345"/>
      <c r="W392" s="304"/>
      <c r="X392" s="344"/>
      <c r="Y392" s="344"/>
      <c r="Z392" s="345"/>
      <c r="AA392" s="345"/>
      <c r="AB392" s="265"/>
    </row>
    <row r="393" spans="1:34" ht="14.25">
      <c r="A393" s="496"/>
      <c r="B393" s="265"/>
      <c r="C393" s="265"/>
      <c r="D393" s="766"/>
      <c r="E393" s="767"/>
      <c r="F393" s="767"/>
      <c r="G393" s="768"/>
      <c r="H393" s="304"/>
      <c r="I393" s="766"/>
      <c r="J393" s="767"/>
      <c r="K393" s="767"/>
      <c r="L393" s="768"/>
      <c r="M393" s="304"/>
      <c r="N393" s="304"/>
      <c r="O393" s="304"/>
      <c r="P393" s="304"/>
      <c r="Q393" s="304"/>
      <c r="R393" s="304"/>
      <c r="S393" s="766"/>
      <c r="T393" s="767"/>
      <c r="U393" s="767"/>
      <c r="V393" s="768"/>
      <c r="W393" s="304"/>
      <c r="X393" s="766"/>
      <c r="Y393" s="767"/>
      <c r="Z393" s="767"/>
      <c r="AA393" s="768"/>
      <c r="AB393" s="265"/>
    </row>
    <row r="394" spans="1:34" ht="14.25">
      <c r="A394" s="496"/>
      <c r="B394" s="265"/>
      <c r="C394" s="265"/>
      <c r="D394" s="761"/>
      <c r="E394" s="762"/>
      <c r="F394" s="762"/>
      <c r="G394" s="763"/>
      <c r="H394" s="304"/>
      <c r="I394" s="761"/>
      <c r="J394" s="762"/>
      <c r="K394" s="762"/>
      <c r="L394" s="763"/>
      <c r="M394" s="304"/>
      <c r="N394" s="304"/>
      <c r="O394" s="304"/>
      <c r="P394" s="304"/>
      <c r="Q394" s="304"/>
      <c r="R394" s="304"/>
      <c r="S394" s="761"/>
      <c r="T394" s="762"/>
      <c r="U394" s="762"/>
      <c r="V394" s="763"/>
      <c r="W394" s="304"/>
      <c r="X394" s="761"/>
      <c r="Y394" s="762"/>
      <c r="Z394" s="762"/>
      <c r="AA394" s="763"/>
      <c r="AB394" s="265"/>
    </row>
    <row r="395" spans="1:34" ht="14.25">
      <c r="A395" s="496"/>
      <c r="B395" s="265"/>
      <c r="C395" s="265"/>
      <c r="D395" s="347"/>
      <c r="E395" s="348"/>
      <c r="F395" s="348"/>
      <c r="G395" s="349"/>
      <c r="H395" s="304"/>
      <c r="I395" s="347"/>
      <c r="J395" s="348"/>
      <c r="K395" s="348"/>
      <c r="L395" s="349"/>
      <c r="M395" s="304"/>
      <c r="N395" s="304"/>
      <c r="O395" s="304"/>
      <c r="P395" s="304"/>
      <c r="Q395" s="304"/>
      <c r="R395" s="304"/>
      <c r="S395" s="347"/>
      <c r="T395" s="348"/>
      <c r="U395" s="348"/>
      <c r="V395" s="349"/>
      <c r="W395" s="304"/>
      <c r="X395" s="347"/>
      <c r="Y395" s="348"/>
      <c r="Z395" s="348"/>
      <c r="AA395" s="349"/>
      <c r="AB395" s="265"/>
    </row>
    <row r="396" spans="1:34" ht="14.25">
      <c r="A396" s="496"/>
      <c r="B396" s="265"/>
      <c r="C396" s="265"/>
      <c r="D396" s="761"/>
      <c r="E396" s="762"/>
      <c r="F396" s="762"/>
      <c r="G396" s="763"/>
      <c r="H396" s="304"/>
      <c r="I396" s="761"/>
      <c r="J396" s="762"/>
      <c r="K396" s="762"/>
      <c r="L396" s="763"/>
      <c r="M396" s="304"/>
      <c r="N396" s="304"/>
      <c r="O396" s="304"/>
      <c r="P396" s="304"/>
      <c r="Q396" s="304"/>
      <c r="R396" s="304"/>
      <c r="S396" s="761"/>
      <c r="T396" s="762"/>
      <c r="U396" s="762"/>
      <c r="V396" s="763"/>
      <c r="W396" s="304"/>
      <c r="X396" s="761"/>
      <c r="Y396" s="762"/>
      <c r="Z396" s="762"/>
      <c r="AA396" s="763"/>
      <c r="AB396" s="265"/>
    </row>
    <row r="397" spans="1:34" s="193" customFormat="1" ht="30" customHeight="1">
      <c r="A397" s="499"/>
      <c r="B397" s="265"/>
      <c r="C397" s="265"/>
      <c r="D397" s="761"/>
      <c r="E397" s="762"/>
      <c r="F397" s="762"/>
      <c r="G397" s="763"/>
      <c r="H397" s="304"/>
      <c r="I397" s="761"/>
      <c r="J397" s="762"/>
      <c r="K397" s="762"/>
      <c r="L397" s="763"/>
      <c r="M397" s="304"/>
      <c r="N397" s="350"/>
      <c r="O397" s="350"/>
      <c r="P397" s="350"/>
      <c r="Q397" s="350"/>
      <c r="R397" s="320"/>
      <c r="S397" s="761"/>
      <c r="T397" s="762"/>
      <c r="U397" s="762"/>
      <c r="V397" s="763"/>
      <c r="W397" s="304"/>
      <c r="X397" s="761"/>
      <c r="Y397" s="762"/>
      <c r="Z397" s="762"/>
      <c r="AA397" s="763"/>
      <c r="AB397" s="265"/>
      <c r="AC397" s="423"/>
    </row>
    <row r="398" spans="1:34" ht="12.75" customHeight="1">
      <c r="A398" s="496"/>
      <c r="B398" s="265"/>
      <c r="C398" s="265"/>
      <c r="D398" s="891"/>
      <c r="E398" s="892"/>
      <c r="F398" s="892"/>
      <c r="G398" s="893"/>
      <c r="H398" s="304"/>
      <c r="I398" s="891"/>
      <c r="J398" s="892"/>
      <c r="K398" s="892"/>
      <c r="L398" s="893"/>
      <c r="M398" s="304"/>
      <c r="N398" s="304"/>
      <c r="O398" s="304"/>
      <c r="P398" s="304"/>
      <c r="Q398" s="304"/>
      <c r="R398" s="304"/>
      <c r="S398" s="891"/>
      <c r="T398" s="892"/>
      <c r="U398" s="892"/>
      <c r="V398" s="893"/>
      <c r="W398" s="304"/>
      <c r="X398" s="891"/>
      <c r="Y398" s="892"/>
      <c r="Z398" s="892"/>
      <c r="AA398" s="893"/>
      <c r="AB398" s="265"/>
    </row>
    <row r="399" spans="1:34" ht="12.75" customHeight="1">
      <c r="A399" s="496"/>
      <c r="B399" s="265"/>
      <c r="C399" s="265"/>
      <c r="D399" s="794" t="s">
        <v>214</v>
      </c>
      <c r="E399" s="795"/>
      <c r="F399" s="795"/>
      <c r="G399" s="796"/>
      <c r="H399" s="304"/>
      <c r="I399" s="794" t="s">
        <v>215</v>
      </c>
      <c r="J399" s="795"/>
      <c r="K399" s="795"/>
      <c r="L399" s="796"/>
      <c r="M399" s="304"/>
      <c r="N399" s="304"/>
      <c r="O399" s="304"/>
      <c r="P399" s="304"/>
      <c r="Q399" s="304"/>
      <c r="R399" s="304"/>
      <c r="S399" s="794" t="s">
        <v>216</v>
      </c>
      <c r="T399" s="795"/>
      <c r="U399" s="795"/>
      <c r="V399" s="796"/>
      <c r="W399" s="304"/>
      <c r="X399" s="794" t="s">
        <v>217</v>
      </c>
      <c r="Y399" s="795"/>
      <c r="Z399" s="795"/>
      <c r="AA399" s="796"/>
      <c r="AB399" s="265"/>
    </row>
    <row r="400" spans="1:34" ht="27" customHeight="1">
      <c r="A400" s="496"/>
      <c r="B400" s="273"/>
      <c r="C400" s="273"/>
      <c r="D400" s="779" t="s">
        <v>610</v>
      </c>
      <c r="E400" s="780"/>
      <c r="F400" s="780"/>
      <c r="G400" s="781"/>
      <c r="H400" s="320"/>
      <c r="I400" s="779" t="s">
        <v>611</v>
      </c>
      <c r="J400" s="780"/>
      <c r="K400" s="780"/>
      <c r="L400" s="781"/>
      <c r="M400" s="320"/>
      <c r="N400" s="304"/>
      <c r="O400" s="304"/>
      <c r="P400" s="304"/>
      <c r="Q400" s="304"/>
      <c r="R400" s="304"/>
      <c r="S400" s="779" t="s">
        <v>612</v>
      </c>
      <c r="T400" s="780"/>
      <c r="U400" s="797"/>
      <c r="V400" s="798"/>
      <c r="W400" s="320"/>
      <c r="X400" s="779" t="s">
        <v>613</v>
      </c>
      <c r="Y400" s="780"/>
      <c r="Z400" s="780"/>
      <c r="AA400" s="781"/>
      <c r="AB400" s="273"/>
    </row>
    <row r="401" spans="1:29" ht="16.149999999999999" customHeight="1">
      <c r="A401" s="496"/>
      <c r="B401" s="265"/>
      <c r="C401" s="265"/>
      <c r="D401" s="1061">
        <v>10.75</v>
      </c>
      <c r="E401" s="1062"/>
      <c r="F401" s="928">
        <v>0</v>
      </c>
      <c r="G401" s="929"/>
      <c r="H401" s="304"/>
      <c r="I401" s="939">
        <v>7.75</v>
      </c>
      <c r="J401" s="940"/>
      <c r="K401" s="928">
        <v>0</v>
      </c>
      <c r="L401" s="929"/>
      <c r="M401" s="304"/>
      <c r="N401" s="304"/>
      <c r="O401" s="304"/>
      <c r="P401" s="304"/>
      <c r="Q401" s="304"/>
      <c r="R401" s="304"/>
      <c r="S401" s="1061">
        <v>22</v>
      </c>
      <c r="T401" s="1055"/>
      <c r="U401" s="824">
        <v>0</v>
      </c>
      <c r="V401" s="825"/>
      <c r="W401" s="304"/>
      <c r="X401" s="1061">
        <v>17</v>
      </c>
      <c r="Y401" s="1062"/>
      <c r="Z401" s="928">
        <v>0</v>
      </c>
      <c r="AA401" s="929"/>
      <c r="AB401" s="265"/>
    </row>
    <row r="402" spans="1:29" s="528" customFormat="1" ht="16.149999999999999" customHeight="1">
      <c r="A402" s="524"/>
      <c r="B402" s="525"/>
      <c r="C402" s="525"/>
      <c r="D402" s="607">
        <f>D401*G402</f>
        <v>43</v>
      </c>
      <c r="E402" s="608"/>
      <c r="F402" s="609" t="s">
        <v>333</v>
      </c>
      <c r="G402" s="610">
        <v>4</v>
      </c>
      <c r="H402" s="611"/>
      <c r="I402" s="607">
        <f>I401*L402</f>
        <v>31</v>
      </c>
      <c r="J402" s="608"/>
      <c r="K402" s="609" t="s">
        <v>333</v>
      </c>
      <c r="L402" s="610">
        <v>4</v>
      </c>
      <c r="M402" s="611"/>
      <c r="N402" s="611"/>
      <c r="O402" s="611"/>
      <c r="P402" s="611"/>
      <c r="Q402" s="611"/>
      <c r="R402" s="611"/>
      <c r="S402" s="607">
        <f>S401*V402</f>
        <v>44</v>
      </c>
      <c r="T402" s="608"/>
      <c r="U402" s="609" t="s">
        <v>333</v>
      </c>
      <c r="V402" s="610">
        <v>2</v>
      </c>
      <c r="W402" s="611"/>
      <c r="X402" s="607">
        <f>X401*AA402</f>
        <v>34</v>
      </c>
      <c r="Y402" s="608"/>
      <c r="Z402" s="609" t="s">
        <v>333</v>
      </c>
      <c r="AA402" s="610">
        <v>2</v>
      </c>
      <c r="AB402" s="525"/>
      <c r="AC402" s="527"/>
    </row>
    <row r="403" spans="1:29" ht="27" customHeight="1" thickBot="1">
      <c r="A403" s="496"/>
      <c r="B403" s="265"/>
      <c r="C403" s="265"/>
      <c r="D403" s="351"/>
      <c r="E403" s="351"/>
      <c r="F403" s="351"/>
      <c r="G403" s="351"/>
      <c r="H403" s="351"/>
      <c r="I403" s="351"/>
      <c r="J403" s="351"/>
      <c r="K403" s="351"/>
      <c r="L403" s="351"/>
      <c r="M403" s="351"/>
      <c r="N403" s="351"/>
      <c r="O403" s="351"/>
      <c r="P403" s="351"/>
      <c r="Q403" s="351"/>
      <c r="R403" s="351"/>
      <c r="S403" s="351"/>
      <c r="T403" s="351"/>
      <c r="U403" s="351"/>
      <c r="V403" s="351"/>
      <c r="W403" s="351"/>
      <c r="X403" s="351"/>
      <c r="Y403" s="351"/>
      <c r="Z403" s="351"/>
      <c r="AA403" s="351"/>
      <c r="AB403" s="265"/>
    </row>
    <row r="404" spans="1:29" s="291" customFormat="1" ht="27" customHeight="1" thickTop="1">
      <c r="A404" s="512"/>
      <c r="B404" s="290"/>
      <c r="C404" s="290"/>
      <c r="D404" s="729" t="s">
        <v>185</v>
      </c>
      <c r="E404" s="729"/>
      <c r="F404" s="729"/>
      <c r="G404" s="729"/>
      <c r="H404" s="729"/>
      <c r="I404" s="729"/>
      <c r="J404" s="729"/>
      <c r="K404" s="729"/>
      <c r="L404" s="729"/>
      <c r="M404" s="729"/>
      <c r="N404" s="729"/>
      <c r="O404" s="729"/>
      <c r="P404" s="729"/>
      <c r="Q404" s="729"/>
      <c r="R404" s="729"/>
      <c r="S404" s="729"/>
      <c r="T404" s="729"/>
      <c r="U404" s="729"/>
      <c r="V404" s="729"/>
      <c r="W404" s="729"/>
      <c r="X404" s="729"/>
      <c r="Y404" s="729"/>
      <c r="Z404" s="729"/>
      <c r="AA404" s="729"/>
      <c r="AB404" s="290"/>
      <c r="AC404" s="458"/>
    </row>
    <row r="405" spans="1:29" s="202" customFormat="1" ht="27" customHeight="1">
      <c r="A405" s="509"/>
      <c r="B405" s="268"/>
      <c r="C405" s="268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  <c r="AA405" s="290"/>
      <c r="AB405" s="268"/>
      <c r="AC405" s="455"/>
    </row>
    <row r="406" spans="1:29" ht="13.5" customHeight="1">
      <c r="A406" s="496"/>
      <c r="B406" s="265"/>
      <c r="C406" s="265"/>
      <c r="D406" s="739"/>
      <c r="E406" s="740"/>
      <c r="F406" s="740"/>
      <c r="G406" s="741"/>
      <c r="H406" s="304"/>
      <c r="I406" s="1066"/>
      <c r="J406" s="1067"/>
      <c r="K406" s="1067"/>
      <c r="L406" s="1068"/>
      <c r="M406" s="304"/>
      <c r="N406" s="739"/>
      <c r="O406" s="740"/>
      <c r="P406" s="740"/>
      <c r="Q406" s="741"/>
      <c r="R406" s="304"/>
      <c r="S406" s="739"/>
      <c r="T406" s="740"/>
      <c r="U406" s="740"/>
      <c r="V406" s="741"/>
      <c r="W406" s="304"/>
      <c r="X406" s="739"/>
      <c r="Y406" s="740"/>
      <c r="Z406" s="740"/>
      <c r="AA406" s="741"/>
      <c r="AB406" s="265"/>
    </row>
    <row r="407" spans="1:29" ht="14.25">
      <c r="A407" s="496"/>
      <c r="B407" s="265"/>
      <c r="C407" s="265"/>
      <c r="D407" s="742"/>
      <c r="E407" s="743"/>
      <c r="F407" s="743"/>
      <c r="G407" s="744"/>
      <c r="H407" s="304"/>
      <c r="I407" s="1069"/>
      <c r="J407" s="1070"/>
      <c r="K407" s="1070"/>
      <c r="L407" s="1071"/>
      <c r="M407" s="304"/>
      <c r="N407" s="742"/>
      <c r="O407" s="743"/>
      <c r="P407" s="743"/>
      <c r="Q407" s="744"/>
      <c r="R407" s="304"/>
      <c r="S407" s="742"/>
      <c r="T407" s="743"/>
      <c r="U407" s="743"/>
      <c r="V407" s="744"/>
      <c r="W407" s="304"/>
      <c r="X407" s="742"/>
      <c r="Y407" s="743"/>
      <c r="Z407" s="743"/>
      <c r="AA407" s="744"/>
      <c r="AB407" s="265"/>
    </row>
    <row r="408" spans="1:29" ht="14.25">
      <c r="A408" s="496"/>
      <c r="B408" s="265"/>
      <c r="C408" s="265"/>
      <c r="D408" s="742"/>
      <c r="E408" s="743"/>
      <c r="F408" s="743"/>
      <c r="G408" s="744"/>
      <c r="H408" s="304"/>
      <c r="I408" s="1069"/>
      <c r="J408" s="1070"/>
      <c r="K408" s="1070"/>
      <c r="L408" s="1071"/>
      <c r="M408" s="304"/>
      <c r="N408" s="329"/>
      <c r="O408" s="330"/>
      <c r="P408" s="330"/>
      <c r="Q408" s="331"/>
      <c r="R408" s="304"/>
      <c r="S408" s="329"/>
      <c r="T408" s="330"/>
      <c r="U408" s="330"/>
      <c r="V408" s="331"/>
      <c r="W408" s="304"/>
      <c r="X408" s="329"/>
      <c r="Y408" s="330"/>
      <c r="Z408" s="330"/>
      <c r="AA408" s="331"/>
      <c r="AB408" s="265"/>
    </row>
    <row r="409" spans="1:29" ht="14.25">
      <c r="A409" s="496"/>
      <c r="B409" s="265"/>
      <c r="C409" s="265"/>
      <c r="D409" s="742"/>
      <c r="E409" s="743"/>
      <c r="F409" s="743"/>
      <c r="G409" s="744"/>
      <c r="H409" s="304"/>
      <c r="I409" s="1069"/>
      <c r="J409" s="1070"/>
      <c r="K409" s="1070"/>
      <c r="L409" s="1071"/>
      <c r="M409" s="304"/>
      <c r="N409" s="742"/>
      <c r="O409" s="743"/>
      <c r="P409" s="743"/>
      <c r="Q409" s="744"/>
      <c r="R409" s="304"/>
      <c r="S409" s="742"/>
      <c r="T409" s="743"/>
      <c r="U409" s="743"/>
      <c r="V409" s="744"/>
      <c r="W409" s="304"/>
      <c r="X409" s="742"/>
      <c r="Y409" s="743"/>
      <c r="Z409" s="743"/>
      <c r="AA409" s="744"/>
      <c r="AB409" s="265"/>
    </row>
    <row r="410" spans="1:29" ht="14.25">
      <c r="A410" s="496"/>
      <c r="B410" s="265"/>
      <c r="C410" s="265"/>
      <c r="D410" s="742"/>
      <c r="E410" s="743"/>
      <c r="F410" s="743"/>
      <c r="G410" s="744"/>
      <c r="H410" s="304"/>
      <c r="I410" s="1069"/>
      <c r="J410" s="1070"/>
      <c r="K410" s="1070"/>
      <c r="L410" s="1071"/>
      <c r="M410" s="304"/>
      <c r="N410" s="742"/>
      <c r="O410" s="743"/>
      <c r="P410" s="743"/>
      <c r="Q410" s="744"/>
      <c r="R410" s="304"/>
      <c r="S410" s="742"/>
      <c r="T410" s="743"/>
      <c r="U410" s="743"/>
      <c r="V410" s="744"/>
      <c r="W410" s="304"/>
      <c r="X410" s="742"/>
      <c r="Y410" s="743"/>
      <c r="Z410" s="743"/>
      <c r="AA410" s="744"/>
      <c r="AB410" s="265"/>
    </row>
    <row r="411" spans="1:29" ht="14.25">
      <c r="A411" s="496"/>
      <c r="B411" s="265"/>
      <c r="C411" s="265"/>
      <c r="D411" s="745"/>
      <c r="E411" s="746"/>
      <c r="F411" s="746"/>
      <c r="G411" s="747"/>
      <c r="H411" s="304"/>
      <c r="I411" s="1072"/>
      <c r="J411" s="1073"/>
      <c r="K411" s="1073"/>
      <c r="L411" s="1074"/>
      <c r="M411" s="304"/>
      <c r="N411" s="745"/>
      <c r="O411" s="746"/>
      <c r="P411" s="746"/>
      <c r="Q411" s="747"/>
      <c r="R411" s="304"/>
      <c r="S411" s="745"/>
      <c r="T411" s="746"/>
      <c r="U411" s="746"/>
      <c r="V411" s="747"/>
      <c r="W411" s="304"/>
      <c r="X411" s="745"/>
      <c r="Y411" s="746"/>
      <c r="Z411" s="746"/>
      <c r="AA411" s="747"/>
      <c r="AB411" s="265"/>
    </row>
    <row r="412" spans="1:29" ht="15">
      <c r="A412" s="496"/>
      <c r="B412" s="265"/>
      <c r="C412" s="265"/>
      <c r="D412" s="794" t="s">
        <v>221</v>
      </c>
      <c r="E412" s="795"/>
      <c r="F412" s="795"/>
      <c r="G412" s="796"/>
      <c r="H412" s="304"/>
      <c r="I412" s="794" t="s">
        <v>220</v>
      </c>
      <c r="J412" s="795"/>
      <c r="K412" s="795"/>
      <c r="L412" s="796"/>
      <c r="M412" s="304"/>
      <c r="N412" s="794" t="s">
        <v>219</v>
      </c>
      <c r="O412" s="795"/>
      <c r="P412" s="795"/>
      <c r="Q412" s="796"/>
      <c r="R412" s="304"/>
      <c r="S412" s="794" t="s">
        <v>218</v>
      </c>
      <c r="T412" s="795"/>
      <c r="U412" s="795"/>
      <c r="V412" s="796"/>
      <c r="W412" s="304"/>
      <c r="X412" s="794" t="s">
        <v>366</v>
      </c>
      <c r="Y412" s="795"/>
      <c r="Z412" s="795"/>
      <c r="AA412" s="796"/>
      <c r="AB412" s="265"/>
    </row>
    <row r="413" spans="1:29" s="193" customFormat="1" ht="27" customHeight="1">
      <c r="A413" s="499"/>
      <c r="B413" s="273"/>
      <c r="C413" s="273"/>
      <c r="D413" s="779" t="s">
        <v>433</v>
      </c>
      <c r="E413" s="780"/>
      <c r="F413" s="797"/>
      <c r="G413" s="798"/>
      <c r="H413" s="320"/>
      <c r="I413" s="779" t="s">
        <v>587</v>
      </c>
      <c r="J413" s="780"/>
      <c r="K413" s="797"/>
      <c r="L413" s="798"/>
      <c r="M413" s="320"/>
      <c r="N413" s="779" t="s">
        <v>434</v>
      </c>
      <c r="O413" s="780"/>
      <c r="P413" s="797"/>
      <c r="Q413" s="798"/>
      <c r="R413" s="320"/>
      <c r="S413" s="779" t="s">
        <v>435</v>
      </c>
      <c r="T413" s="780"/>
      <c r="U413" s="797"/>
      <c r="V413" s="798"/>
      <c r="W413" s="320"/>
      <c r="X413" s="779" t="s">
        <v>430</v>
      </c>
      <c r="Y413" s="780"/>
      <c r="Z413" s="797"/>
      <c r="AA413" s="798"/>
      <c r="AB413" s="273"/>
      <c r="AC413" s="423"/>
    </row>
    <row r="414" spans="1:29" ht="16.149999999999999" customHeight="1">
      <c r="A414" s="496"/>
      <c r="B414" s="265"/>
      <c r="C414" s="265"/>
      <c r="D414" s="907">
        <v>1500</v>
      </c>
      <c r="E414" s="908"/>
      <c r="F414" s="824">
        <v>0</v>
      </c>
      <c r="G414" s="825"/>
      <c r="H414" s="304"/>
      <c r="I414" s="907">
        <v>1500</v>
      </c>
      <c r="J414" s="908"/>
      <c r="K414" s="824">
        <v>0</v>
      </c>
      <c r="L414" s="825"/>
      <c r="M414" s="304"/>
      <c r="N414" s="907">
        <v>1500</v>
      </c>
      <c r="O414" s="908"/>
      <c r="P414" s="824">
        <v>0</v>
      </c>
      <c r="Q414" s="825"/>
      <c r="R414" s="304"/>
      <c r="S414" s="907">
        <v>1500</v>
      </c>
      <c r="T414" s="908"/>
      <c r="U414" s="824">
        <v>0</v>
      </c>
      <c r="V414" s="825"/>
      <c r="W414" s="304"/>
      <c r="X414" s="907">
        <v>500</v>
      </c>
      <c r="Y414" s="908"/>
      <c r="Z414" s="824">
        <v>0</v>
      </c>
      <c r="AA414" s="825"/>
      <c r="AB414" s="265"/>
    </row>
    <row r="415" spans="1:29" ht="14.25">
      <c r="A415" s="496"/>
      <c r="B415" s="265"/>
      <c r="C415" s="265"/>
      <c r="D415" s="332"/>
      <c r="E415" s="332"/>
      <c r="F415" s="333"/>
      <c r="G415" s="334"/>
      <c r="H415" s="304"/>
      <c r="I415" s="332"/>
      <c r="J415" s="332"/>
      <c r="K415" s="333"/>
      <c r="L415" s="334"/>
      <c r="M415" s="304"/>
      <c r="N415" s="332"/>
      <c r="O415" s="332"/>
      <c r="P415" s="333"/>
      <c r="Q415" s="334"/>
      <c r="R415" s="304"/>
      <c r="S415" s="332"/>
      <c r="T415" s="332"/>
      <c r="U415" s="333"/>
      <c r="V415" s="334"/>
      <c r="W415" s="304"/>
      <c r="X415" s="332"/>
      <c r="Y415" s="332"/>
      <c r="Z415" s="333"/>
      <c r="AA415" s="334"/>
      <c r="AB415" s="265"/>
    </row>
    <row r="416" spans="1:29" ht="14.25">
      <c r="A416" s="496"/>
      <c r="B416" s="265"/>
      <c r="C416" s="265"/>
      <c r="D416" s="739"/>
      <c r="E416" s="740"/>
      <c r="F416" s="740"/>
      <c r="G416" s="741"/>
      <c r="H416" s="304"/>
      <c r="I416" s="739"/>
      <c r="J416" s="740"/>
      <c r="K416" s="740"/>
      <c r="L416" s="741"/>
      <c r="M416" s="304"/>
      <c r="N416" s="739"/>
      <c r="O416" s="740"/>
      <c r="P416" s="740"/>
      <c r="Q416" s="741"/>
      <c r="R416" s="304"/>
      <c r="S416" s="764"/>
      <c r="T416" s="764"/>
      <c r="U416" s="764"/>
      <c r="V416" s="764"/>
      <c r="W416" s="304"/>
      <c r="X416" s="764"/>
      <c r="Y416" s="764"/>
      <c r="Z416" s="764"/>
      <c r="AA416" s="764"/>
      <c r="AB416" s="265"/>
    </row>
    <row r="417" spans="1:29" ht="14.25">
      <c r="A417" s="496"/>
      <c r="B417" s="265"/>
      <c r="C417" s="265"/>
      <c r="D417" s="930"/>
      <c r="E417" s="931"/>
      <c r="F417" s="931"/>
      <c r="G417" s="932"/>
      <c r="H417" s="304"/>
      <c r="I417" s="742"/>
      <c r="J417" s="743"/>
      <c r="K417" s="743"/>
      <c r="L417" s="744"/>
      <c r="M417" s="304"/>
      <c r="N417" s="742"/>
      <c r="O417" s="743"/>
      <c r="P417" s="743"/>
      <c r="Q417" s="744"/>
      <c r="R417" s="304"/>
      <c r="S417" s="764"/>
      <c r="T417" s="764"/>
      <c r="U417" s="764"/>
      <c r="V417" s="764"/>
      <c r="W417" s="304"/>
      <c r="X417" s="925"/>
      <c r="Y417" s="925"/>
      <c r="Z417" s="925"/>
      <c r="AA417" s="925"/>
      <c r="AB417" s="265"/>
    </row>
    <row r="418" spans="1:29" ht="14.25">
      <c r="A418" s="496"/>
      <c r="B418" s="265"/>
      <c r="C418" s="265"/>
      <c r="D418" s="930"/>
      <c r="E418" s="931"/>
      <c r="F418" s="931"/>
      <c r="G418" s="932"/>
      <c r="H418" s="304"/>
      <c r="I418" s="329"/>
      <c r="J418" s="330"/>
      <c r="K418" s="330"/>
      <c r="L418" s="331"/>
      <c r="M418" s="304"/>
      <c r="N418" s="329"/>
      <c r="O418" s="330"/>
      <c r="P418" s="330"/>
      <c r="Q418" s="331"/>
      <c r="R418" s="304"/>
      <c r="S418" s="335"/>
      <c r="T418" s="335"/>
      <c r="U418" s="335"/>
      <c r="V418" s="335"/>
      <c r="W418" s="304"/>
      <c r="X418" s="925"/>
      <c r="Y418" s="925"/>
      <c r="Z418" s="925"/>
      <c r="AA418" s="925"/>
      <c r="AB418" s="265"/>
    </row>
    <row r="419" spans="1:29" ht="14.25">
      <c r="A419" s="496"/>
      <c r="B419" s="265"/>
      <c r="C419" s="265"/>
      <c r="D419" s="930"/>
      <c r="E419" s="931"/>
      <c r="F419" s="931"/>
      <c r="G419" s="932"/>
      <c r="H419" s="304"/>
      <c r="I419" s="742"/>
      <c r="J419" s="743"/>
      <c r="K419" s="743"/>
      <c r="L419" s="744"/>
      <c r="M419" s="304"/>
      <c r="N419" s="742"/>
      <c r="O419" s="743"/>
      <c r="P419" s="743"/>
      <c r="Q419" s="744"/>
      <c r="R419" s="304"/>
      <c r="S419" s="764"/>
      <c r="T419" s="764"/>
      <c r="U419" s="764"/>
      <c r="V419" s="764"/>
      <c r="W419" s="304"/>
      <c r="X419" s="925"/>
      <c r="Y419" s="925"/>
      <c r="Z419" s="925"/>
      <c r="AA419" s="925"/>
      <c r="AB419" s="265"/>
    </row>
    <row r="420" spans="1:29" ht="14.25">
      <c r="A420" s="496"/>
      <c r="B420" s="265"/>
      <c r="C420" s="265"/>
      <c r="D420" s="930"/>
      <c r="E420" s="931"/>
      <c r="F420" s="931"/>
      <c r="G420" s="932"/>
      <c r="H420" s="304"/>
      <c r="I420" s="742"/>
      <c r="J420" s="743"/>
      <c r="K420" s="743"/>
      <c r="L420" s="744"/>
      <c r="M420" s="304"/>
      <c r="N420" s="742"/>
      <c r="O420" s="743"/>
      <c r="P420" s="743"/>
      <c r="Q420" s="744"/>
      <c r="R420" s="304"/>
      <c r="S420" s="764"/>
      <c r="T420" s="764"/>
      <c r="U420" s="764"/>
      <c r="V420" s="764"/>
      <c r="W420" s="304"/>
      <c r="X420" s="925"/>
      <c r="Y420" s="925"/>
      <c r="Z420" s="925"/>
      <c r="AA420" s="925"/>
      <c r="AB420" s="265"/>
    </row>
    <row r="421" spans="1:29" s="204" customFormat="1" ht="14.25">
      <c r="A421" s="511"/>
      <c r="B421" s="265"/>
      <c r="C421" s="265"/>
      <c r="D421" s="933"/>
      <c r="E421" s="934"/>
      <c r="F421" s="934"/>
      <c r="G421" s="935"/>
      <c r="H421" s="304"/>
      <c r="I421" s="745"/>
      <c r="J421" s="746"/>
      <c r="K421" s="746"/>
      <c r="L421" s="747"/>
      <c r="M421" s="304"/>
      <c r="N421" s="742"/>
      <c r="O421" s="743"/>
      <c r="P421" s="743"/>
      <c r="Q421" s="744"/>
      <c r="R421" s="304"/>
      <c r="S421" s="764"/>
      <c r="T421" s="764"/>
      <c r="U421" s="764"/>
      <c r="V421" s="764"/>
      <c r="W421" s="304"/>
      <c r="X421" s="925"/>
      <c r="Y421" s="925"/>
      <c r="Z421" s="925"/>
      <c r="AA421" s="925"/>
      <c r="AB421" s="265"/>
      <c r="AC421" s="457"/>
    </row>
    <row r="422" spans="1:29" ht="15">
      <c r="A422" s="496"/>
      <c r="B422" s="265"/>
      <c r="C422" s="265"/>
      <c r="D422" s="794" t="s">
        <v>222</v>
      </c>
      <c r="E422" s="795"/>
      <c r="F422" s="795"/>
      <c r="G422" s="796"/>
      <c r="H422" s="304"/>
      <c r="I422" s="794" t="s">
        <v>565</v>
      </c>
      <c r="J422" s="795"/>
      <c r="K422" s="795"/>
      <c r="L422" s="796"/>
      <c r="M422" s="304"/>
      <c r="N422" s="941" t="s">
        <v>564</v>
      </c>
      <c r="O422" s="749"/>
      <c r="P422" s="749"/>
      <c r="Q422" s="942"/>
      <c r="R422" s="304"/>
      <c r="S422" s="765"/>
      <c r="T422" s="765"/>
      <c r="U422" s="765"/>
      <c r="V422" s="765"/>
      <c r="W422" s="304"/>
      <c r="X422" s="765"/>
      <c r="Y422" s="765"/>
      <c r="Z422" s="765"/>
      <c r="AA422" s="765"/>
      <c r="AB422" s="265"/>
    </row>
    <row r="423" spans="1:29" s="193" customFormat="1" ht="27" customHeight="1">
      <c r="A423" s="499"/>
      <c r="B423" s="273"/>
      <c r="C423" s="273"/>
      <c r="D423" s="936" t="s">
        <v>603</v>
      </c>
      <c r="E423" s="937"/>
      <c r="F423" s="937"/>
      <c r="G423" s="938"/>
      <c r="H423" s="320"/>
      <c r="I423" s="1058" t="s">
        <v>601</v>
      </c>
      <c r="J423" s="1059"/>
      <c r="K423" s="1059"/>
      <c r="L423" s="1060"/>
      <c r="M423" s="320"/>
      <c r="N423" s="922" t="s">
        <v>602</v>
      </c>
      <c r="O423" s="923"/>
      <c r="P423" s="923"/>
      <c r="Q423" s="924"/>
      <c r="R423" s="320"/>
      <c r="S423" s="830"/>
      <c r="T423" s="830"/>
      <c r="U423" s="830"/>
      <c r="V423" s="830"/>
      <c r="W423" s="320"/>
      <c r="X423" s="830"/>
      <c r="Y423" s="830"/>
      <c r="Z423" s="830"/>
      <c r="AA423" s="830"/>
      <c r="AB423" s="273"/>
      <c r="AC423" s="423"/>
    </row>
    <row r="424" spans="1:29" ht="16.149999999999999" customHeight="1">
      <c r="A424" s="496"/>
      <c r="B424" s="265"/>
      <c r="C424" s="265"/>
      <c r="D424" s="818">
        <v>1750</v>
      </c>
      <c r="E424" s="818"/>
      <c r="F424" s="1057">
        <v>0</v>
      </c>
      <c r="G424" s="1057"/>
      <c r="H424" s="304"/>
      <c r="I424" s="818">
        <v>3500</v>
      </c>
      <c r="J424" s="818"/>
      <c r="K424" s="1057">
        <v>0</v>
      </c>
      <c r="L424" s="1057"/>
      <c r="M424" s="304"/>
      <c r="N424" s="904" t="s">
        <v>563</v>
      </c>
      <c r="O424" s="904"/>
      <c r="P424" s="1057">
        <v>0</v>
      </c>
      <c r="Q424" s="1057"/>
      <c r="R424" s="304"/>
      <c r="S424" s="822"/>
      <c r="T424" s="822"/>
      <c r="U424" s="754"/>
      <c r="V424" s="754"/>
      <c r="W424" s="304"/>
      <c r="X424" s="822"/>
      <c r="Y424" s="822"/>
      <c r="Z424" s="754"/>
      <c r="AA424" s="754"/>
      <c r="AB424" s="265"/>
    </row>
    <row r="425" spans="1:29" ht="14.25">
      <c r="A425" s="496"/>
      <c r="B425" s="265"/>
      <c r="C425" s="265"/>
      <c r="D425" s="344"/>
      <c r="E425" s="344"/>
      <c r="F425" s="345"/>
      <c r="G425" s="345"/>
      <c r="H425" s="304"/>
      <c r="I425" s="344"/>
      <c r="J425" s="344"/>
      <c r="K425" s="345"/>
      <c r="L425" s="345"/>
      <c r="M425" s="304"/>
      <c r="N425" s="344"/>
      <c r="O425" s="344"/>
      <c r="P425" s="345"/>
      <c r="Q425" s="345"/>
      <c r="R425" s="304"/>
      <c r="S425" s="344"/>
      <c r="T425" s="344"/>
      <c r="U425" s="345"/>
      <c r="V425" s="345"/>
      <c r="W425" s="304"/>
      <c r="X425" s="344"/>
      <c r="Y425" s="344"/>
      <c r="Z425" s="345"/>
      <c r="AA425" s="345"/>
      <c r="AB425" s="265"/>
    </row>
    <row r="426" spans="1:29" ht="13.5" customHeight="1">
      <c r="A426" s="496"/>
      <c r="B426" s="265"/>
      <c r="C426" s="265"/>
      <c r="D426" s="739"/>
      <c r="E426" s="740"/>
      <c r="F426" s="740"/>
      <c r="G426" s="741"/>
      <c r="H426" s="304"/>
      <c r="I426" s="739"/>
      <c r="J426" s="740"/>
      <c r="K426" s="740"/>
      <c r="L426" s="741"/>
      <c r="M426" s="304"/>
      <c r="N426" s="766"/>
      <c r="O426" s="767"/>
      <c r="P426" s="767"/>
      <c r="Q426" s="768"/>
      <c r="R426" s="304"/>
      <c r="S426" s="766"/>
      <c r="T426" s="767"/>
      <c r="U426" s="767"/>
      <c r="V426" s="768"/>
      <c r="W426" s="304"/>
      <c r="X426" s="766"/>
      <c r="Y426" s="767"/>
      <c r="Z426" s="767"/>
      <c r="AA426" s="768"/>
      <c r="AB426" s="265"/>
    </row>
    <row r="427" spans="1:29" ht="14.25">
      <c r="A427" s="496"/>
      <c r="B427" s="265"/>
      <c r="C427" s="265"/>
      <c r="D427" s="930"/>
      <c r="E427" s="931"/>
      <c r="F427" s="931"/>
      <c r="G427" s="932"/>
      <c r="H427" s="304"/>
      <c r="I427" s="930"/>
      <c r="J427" s="931"/>
      <c r="K427" s="931"/>
      <c r="L427" s="932"/>
      <c r="M427" s="304"/>
      <c r="N427" s="945"/>
      <c r="O427" s="946"/>
      <c r="P427" s="946"/>
      <c r="Q427" s="947"/>
      <c r="R427" s="304"/>
      <c r="S427" s="945"/>
      <c r="T427" s="946"/>
      <c r="U427" s="946"/>
      <c r="V427" s="947"/>
      <c r="W427" s="304"/>
      <c r="X427" s="945"/>
      <c r="Y427" s="946"/>
      <c r="Z427" s="946"/>
      <c r="AA427" s="947"/>
      <c r="AB427" s="265"/>
    </row>
    <row r="428" spans="1:29" ht="14.25">
      <c r="A428" s="496"/>
      <c r="B428" s="265"/>
      <c r="C428" s="265"/>
      <c r="D428" s="930"/>
      <c r="E428" s="931"/>
      <c r="F428" s="931"/>
      <c r="G428" s="932"/>
      <c r="H428" s="304"/>
      <c r="I428" s="930"/>
      <c r="J428" s="931"/>
      <c r="K428" s="931"/>
      <c r="L428" s="932"/>
      <c r="M428" s="304"/>
      <c r="N428" s="945"/>
      <c r="O428" s="946"/>
      <c r="P428" s="946"/>
      <c r="Q428" s="947"/>
      <c r="R428" s="304"/>
      <c r="S428" s="945"/>
      <c r="T428" s="946"/>
      <c r="U428" s="946"/>
      <c r="V428" s="947"/>
      <c r="W428" s="304"/>
      <c r="X428" s="945"/>
      <c r="Y428" s="946"/>
      <c r="Z428" s="946"/>
      <c r="AA428" s="947"/>
      <c r="AB428" s="265"/>
    </row>
    <row r="429" spans="1:29" ht="14.25">
      <c r="A429" s="496"/>
      <c r="B429" s="265"/>
      <c r="C429" s="265"/>
      <c r="D429" s="930"/>
      <c r="E429" s="931"/>
      <c r="F429" s="931"/>
      <c r="G429" s="932"/>
      <c r="H429" s="304"/>
      <c r="I429" s="930"/>
      <c r="J429" s="931"/>
      <c r="K429" s="931"/>
      <c r="L429" s="932"/>
      <c r="M429" s="304"/>
      <c r="N429" s="945"/>
      <c r="O429" s="946"/>
      <c r="P429" s="946"/>
      <c r="Q429" s="947"/>
      <c r="R429" s="304"/>
      <c r="S429" s="945"/>
      <c r="T429" s="946"/>
      <c r="U429" s="946"/>
      <c r="V429" s="947"/>
      <c r="W429" s="304"/>
      <c r="X429" s="945"/>
      <c r="Y429" s="946"/>
      <c r="Z429" s="946"/>
      <c r="AA429" s="947"/>
      <c r="AB429" s="265"/>
    </row>
    <row r="430" spans="1:29" ht="14.25">
      <c r="A430" s="496"/>
      <c r="B430" s="265"/>
      <c r="C430" s="265"/>
      <c r="D430" s="930"/>
      <c r="E430" s="931"/>
      <c r="F430" s="931"/>
      <c r="G430" s="932"/>
      <c r="H430" s="304"/>
      <c r="I430" s="930"/>
      <c r="J430" s="931"/>
      <c r="K430" s="931"/>
      <c r="L430" s="932"/>
      <c r="M430" s="304"/>
      <c r="N430" s="945"/>
      <c r="O430" s="946"/>
      <c r="P430" s="946"/>
      <c r="Q430" s="947"/>
      <c r="R430" s="304"/>
      <c r="S430" s="945"/>
      <c r="T430" s="946"/>
      <c r="U430" s="946"/>
      <c r="V430" s="947"/>
      <c r="W430" s="304"/>
      <c r="X430" s="945"/>
      <c r="Y430" s="946"/>
      <c r="Z430" s="946"/>
      <c r="AA430" s="947"/>
      <c r="AB430" s="265"/>
    </row>
    <row r="431" spans="1:29" ht="14.25">
      <c r="A431" s="496"/>
      <c r="B431" s="265"/>
      <c r="C431" s="265"/>
      <c r="D431" s="933"/>
      <c r="E431" s="934"/>
      <c r="F431" s="934"/>
      <c r="G431" s="935"/>
      <c r="H431" s="304"/>
      <c r="I431" s="933"/>
      <c r="J431" s="934"/>
      <c r="K431" s="934"/>
      <c r="L431" s="935"/>
      <c r="M431" s="304"/>
      <c r="N431" s="948"/>
      <c r="O431" s="949"/>
      <c r="P431" s="949"/>
      <c r="Q431" s="950"/>
      <c r="R431" s="304"/>
      <c r="S431" s="948"/>
      <c r="T431" s="949"/>
      <c r="U431" s="949"/>
      <c r="V431" s="950"/>
      <c r="W431" s="304"/>
      <c r="X431" s="948"/>
      <c r="Y431" s="949"/>
      <c r="Z431" s="949"/>
      <c r="AA431" s="950"/>
      <c r="AB431" s="265"/>
    </row>
    <row r="432" spans="1:29" ht="15">
      <c r="A432" s="496"/>
      <c r="B432" s="265"/>
      <c r="C432" s="265"/>
      <c r="D432" s="794" t="s">
        <v>225</v>
      </c>
      <c r="E432" s="795"/>
      <c r="F432" s="795"/>
      <c r="G432" s="796"/>
      <c r="H432" s="304"/>
      <c r="I432" s="794" t="s">
        <v>226</v>
      </c>
      <c r="J432" s="795"/>
      <c r="K432" s="795"/>
      <c r="L432" s="796"/>
      <c r="M432" s="304"/>
      <c r="N432" s="794" t="s">
        <v>227</v>
      </c>
      <c r="O432" s="795"/>
      <c r="P432" s="795"/>
      <c r="Q432" s="796"/>
      <c r="R432" s="304"/>
      <c r="S432" s="794" t="s">
        <v>529</v>
      </c>
      <c r="T432" s="795"/>
      <c r="U432" s="795"/>
      <c r="V432" s="796"/>
      <c r="W432" s="304"/>
      <c r="X432" s="794" t="s">
        <v>528</v>
      </c>
      <c r="Y432" s="795"/>
      <c r="Z432" s="795"/>
      <c r="AA432" s="796"/>
      <c r="AB432" s="265"/>
    </row>
    <row r="433" spans="1:29" s="193" customFormat="1" ht="27" customHeight="1">
      <c r="A433" s="499"/>
      <c r="B433" s="273"/>
      <c r="C433" s="273"/>
      <c r="D433" s="779" t="s">
        <v>120</v>
      </c>
      <c r="E433" s="780"/>
      <c r="F433" s="797"/>
      <c r="G433" s="798"/>
      <c r="H433" s="320"/>
      <c r="I433" s="779" t="s">
        <v>589</v>
      </c>
      <c r="J433" s="780"/>
      <c r="K433" s="797"/>
      <c r="L433" s="798"/>
      <c r="M433" s="320"/>
      <c r="N433" s="779" t="s">
        <v>592</v>
      </c>
      <c r="O433" s="780"/>
      <c r="P433" s="797"/>
      <c r="Q433" s="798"/>
      <c r="R433" s="320"/>
      <c r="S433" s="779" t="s">
        <v>588</v>
      </c>
      <c r="T433" s="780"/>
      <c r="U433" s="797"/>
      <c r="V433" s="798"/>
      <c r="W433" s="320"/>
      <c r="X433" s="779" t="s">
        <v>594</v>
      </c>
      <c r="Y433" s="780"/>
      <c r="Z433" s="797"/>
      <c r="AA433" s="798"/>
      <c r="AB433" s="273"/>
      <c r="AC433" s="423"/>
    </row>
    <row r="434" spans="1:29" ht="16.149999999999999" customHeight="1">
      <c r="A434" s="496"/>
      <c r="B434" s="265"/>
      <c r="C434" s="265"/>
      <c r="D434" s="818">
        <v>30</v>
      </c>
      <c r="E434" s="788"/>
      <c r="F434" s="819">
        <v>0</v>
      </c>
      <c r="G434" s="819"/>
      <c r="H434" s="304"/>
      <c r="I434" s="904">
        <v>30</v>
      </c>
      <c r="J434" s="810"/>
      <c r="K434" s="819">
        <v>0</v>
      </c>
      <c r="L434" s="819"/>
      <c r="M434" s="304"/>
      <c r="N434" s="818">
        <v>20</v>
      </c>
      <c r="O434" s="788"/>
      <c r="P434" s="819">
        <v>0</v>
      </c>
      <c r="Q434" s="819"/>
      <c r="R434" s="304"/>
      <c r="S434" s="818">
        <v>325</v>
      </c>
      <c r="T434" s="788"/>
      <c r="U434" s="819">
        <v>0</v>
      </c>
      <c r="V434" s="819"/>
      <c r="W434" s="346"/>
      <c r="X434" s="818">
        <v>40</v>
      </c>
      <c r="Y434" s="788"/>
      <c r="Z434" s="819">
        <v>0</v>
      </c>
      <c r="AA434" s="819"/>
      <c r="AB434" s="265"/>
    </row>
    <row r="435" spans="1:29" ht="14.25">
      <c r="A435" s="496"/>
      <c r="B435" s="265"/>
      <c r="C435" s="265"/>
      <c r="D435" s="336"/>
      <c r="E435" s="337"/>
      <c r="F435" s="338"/>
      <c r="G435" s="339"/>
      <c r="H435" s="304"/>
      <c r="I435" s="336"/>
      <c r="J435" s="337"/>
      <c r="K435" s="338"/>
      <c r="L435" s="339"/>
      <c r="M435" s="304"/>
      <c r="N435" s="340"/>
      <c r="O435" s="343"/>
      <c r="P435" s="341"/>
      <c r="Q435" s="342"/>
      <c r="R435" s="304"/>
      <c r="S435" s="332"/>
      <c r="T435" s="332"/>
      <c r="U435" s="333"/>
      <c r="V435" s="334"/>
      <c r="W435" s="304"/>
      <c r="X435" s="332"/>
      <c r="Y435" s="332"/>
      <c r="Z435" s="333"/>
      <c r="AA435" s="334"/>
      <c r="AB435" s="265"/>
    </row>
    <row r="436" spans="1:29" ht="14.25">
      <c r="A436" s="496"/>
      <c r="B436" s="265"/>
      <c r="C436" s="265"/>
      <c r="D436" s="739"/>
      <c r="E436" s="740"/>
      <c r="F436" s="740"/>
      <c r="G436" s="741"/>
      <c r="H436" s="304"/>
      <c r="I436" s="739"/>
      <c r="J436" s="740"/>
      <c r="K436" s="740"/>
      <c r="L436" s="741"/>
      <c r="M436" s="304"/>
      <c r="N436" s="739"/>
      <c r="O436" s="740"/>
      <c r="P436" s="740"/>
      <c r="Q436" s="741"/>
      <c r="R436" s="304"/>
      <c r="S436" s="739"/>
      <c r="T436" s="740"/>
      <c r="U436" s="740"/>
      <c r="V436" s="741"/>
      <c r="W436" s="304"/>
      <c r="X436" s="332"/>
      <c r="Y436" s="332"/>
      <c r="Z436" s="333"/>
      <c r="AA436" s="334"/>
      <c r="AB436" s="265"/>
    </row>
    <row r="437" spans="1:29" ht="14.25">
      <c r="A437" s="496"/>
      <c r="B437" s="265"/>
      <c r="C437" s="265"/>
      <c r="D437" s="742"/>
      <c r="E437" s="743"/>
      <c r="F437" s="743"/>
      <c r="G437" s="744"/>
      <c r="H437" s="304"/>
      <c r="I437" s="930"/>
      <c r="J437" s="931"/>
      <c r="K437" s="931"/>
      <c r="L437" s="932"/>
      <c r="M437" s="304"/>
      <c r="N437" s="742"/>
      <c r="O437" s="743"/>
      <c r="P437" s="743"/>
      <c r="Q437" s="744"/>
      <c r="R437" s="304"/>
      <c r="S437" s="742"/>
      <c r="T437" s="743"/>
      <c r="U437" s="743"/>
      <c r="V437" s="744"/>
      <c r="W437" s="304"/>
      <c r="X437" s="332"/>
      <c r="Y437" s="332"/>
      <c r="Z437" s="333"/>
      <c r="AA437" s="334"/>
      <c r="AB437" s="265"/>
    </row>
    <row r="438" spans="1:29" ht="14.25">
      <c r="A438" s="496"/>
      <c r="B438" s="265"/>
      <c r="C438" s="265"/>
      <c r="D438" s="329"/>
      <c r="E438" s="330"/>
      <c r="F438" s="330"/>
      <c r="G438" s="331"/>
      <c r="H438" s="304"/>
      <c r="I438" s="930"/>
      <c r="J438" s="931"/>
      <c r="K438" s="931"/>
      <c r="L438" s="932"/>
      <c r="M438" s="304"/>
      <c r="N438" s="329"/>
      <c r="O438" s="330"/>
      <c r="P438" s="330"/>
      <c r="Q438" s="331"/>
      <c r="R438" s="304"/>
      <c r="S438" s="329"/>
      <c r="T438" s="330"/>
      <c r="U438" s="330"/>
      <c r="V438" s="331"/>
      <c r="W438" s="304"/>
      <c r="X438" s="332"/>
      <c r="Y438" s="332"/>
      <c r="Z438" s="333"/>
      <c r="AA438" s="334"/>
      <c r="AB438" s="265"/>
    </row>
    <row r="439" spans="1:29" ht="14.25">
      <c r="A439" s="496"/>
      <c r="B439" s="265"/>
      <c r="C439" s="265"/>
      <c r="D439" s="742"/>
      <c r="E439" s="743"/>
      <c r="F439" s="743"/>
      <c r="G439" s="744"/>
      <c r="H439" s="304"/>
      <c r="I439" s="930"/>
      <c r="J439" s="931"/>
      <c r="K439" s="931"/>
      <c r="L439" s="932"/>
      <c r="M439" s="304"/>
      <c r="N439" s="742"/>
      <c r="O439" s="743"/>
      <c r="P439" s="743"/>
      <c r="Q439" s="744"/>
      <c r="R439" s="304"/>
      <c r="S439" s="742"/>
      <c r="T439" s="743"/>
      <c r="U439" s="743"/>
      <c r="V439" s="744"/>
      <c r="W439" s="304"/>
      <c r="X439" s="332"/>
      <c r="Y439" s="332"/>
      <c r="Z439" s="333"/>
      <c r="AA439" s="334"/>
      <c r="AB439" s="265"/>
    </row>
    <row r="440" spans="1:29" ht="14.25">
      <c r="A440" s="496"/>
      <c r="B440" s="265"/>
      <c r="C440" s="265"/>
      <c r="D440" s="742"/>
      <c r="E440" s="743"/>
      <c r="F440" s="743"/>
      <c r="G440" s="744"/>
      <c r="H440" s="304"/>
      <c r="I440" s="930"/>
      <c r="J440" s="931"/>
      <c r="K440" s="931"/>
      <c r="L440" s="932"/>
      <c r="M440" s="304"/>
      <c r="N440" s="742"/>
      <c r="O440" s="743"/>
      <c r="P440" s="743"/>
      <c r="Q440" s="744"/>
      <c r="R440" s="304"/>
      <c r="S440" s="742"/>
      <c r="T440" s="743"/>
      <c r="U440" s="743"/>
      <c r="V440" s="744"/>
      <c r="W440" s="304"/>
      <c r="X440" s="332"/>
      <c r="Y440" s="332"/>
      <c r="Z440" s="333"/>
      <c r="AA440" s="334"/>
      <c r="AB440" s="265"/>
    </row>
    <row r="441" spans="1:29" ht="14.25">
      <c r="A441" s="496"/>
      <c r="B441" s="265"/>
      <c r="C441" s="265"/>
      <c r="D441" s="745"/>
      <c r="E441" s="746"/>
      <c r="F441" s="746"/>
      <c r="G441" s="747"/>
      <c r="H441" s="304"/>
      <c r="I441" s="933"/>
      <c r="J441" s="934"/>
      <c r="K441" s="934"/>
      <c r="L441" s="935"/>
      <c r="M441" s="304"/>
      <c r="N441" s="745"/>
      <c r="O441" s="746"/>
      <c r="P441" s="746"/>
      <c r="Q441" s="747"/>
      <c r="R441" s="304"/>
      <c r="S441" s="745"/>
      <c r="T441" s="746"/>
      <c r="U441" s="746"/>
      <c r="V441" s="747"/>
      <c r="W441" s="304"/>
      <c r="X441" s="332"/>
      <c r="Y441" s="332"/>
      <c r="Z441" s="333"/>
      <c r="AA441" s="334"/>
      <c r="AB441" s="265"/>
    </row>
    <row r="442" spans="1:29" ht="15">
      <c r="A442" s="496"/>
      <c r="B442" s="265"/>
      <c r="C442" s="265"/>
      <c r="D442" s="794" t="s">
        <v>224</v>
      </c>
      <c r="E442" s="795"/>
      <c r="F442" s="795"/>
      <c r="G442" s="796"/>
      <c r="H442" s="304"/>
      <c r="I442" s="887" t="s">
        <v>228</v>
      </c>
      <c r="J442" s="888"/>
      <c r="K442" s="888"/>
      <c r="L442" s="889"/>
      <c r="M442" s="304"/>
      <c r="N442" s="748" t="s">
        <v>223</v>
      </c>
      <c r="O442" s="749"/>
      <c r="P442" s="749"/>
      <c r="Q442" s="750"/>
      <c r="R442" s="304"/>
      <c r="S442" s="751" t="s">
        <v>488</v>
      </c>
      <c r="T442" s="751"/>
      <c r="U442" s="751"/>
      <c r="V442" s="751"/>
      <c r="W442" s="304"/>
      <c r="X442" s="332"/>
      <c r="Y442" s="332"/>
      <c r="Z442" s="333"/>
      <c r="AA442" s="334"/>
      <c r="AB442" s="265"/>
    </row>
    <row r="443" spans="1:29" ht="27" customHeight="1">
      <c r="A443" s="496"/>
      <c r="B443" s="265"/>
      <c r="C443" s="265"/>
      <c r="D443" s="779" t="s">
        <v>590</v>
      </c>
      <c r="E443" s="780"/>
      <c r="F443" s="797"/>
      <c r="G443" s="798"/>
      <c r="H443" s="320"/>
      <c r="I443" s="779" t="s">
        <v>591</v>
      </c>
      <c r="J443" s="780"/>
      <c r="K443" s="797"/>
      <c r="L443" s="798"/>
      <c r="M443" s="304"/>
      <c r="N443" s="779" t="s">
        <v>487</v>
      </c>
      <c r="O443" s="780"/>
      <c r="P443" s="797"/>
      <c r="Q443" s="798"/>
      <c r="R443" s="320"/>
      <c r="S443" s="914" t="s">
        <v>593</v>
      </c>
      <c r="T443" s="915"/>
      <c r="U443" s="916"/>
      <c r="V443" s="917"/>
      <c r="W443" s="304"/>
      <c r="X443" s="332"/>
      <c r="Y443" s="332"/>
      <c r="Z443" s="333"/>
      <c r="AA443" s="334"/>
      <c r="AB443" s="265"/>
    </row>
    <row r="444" spans="1:29" ht="16.149999999999999" customHeight="1">
      <c r="A444" s="496"/>
      <c r="B444" s="265"/>
      <c r="C444" s="265"/>
      <c r="D444" s="904">
        <v>50</v>
      </c>
      <c r="E444" s="810"/>
      <c r="F444" s="819">
        <v>0</v>
      </c>
      <c r="G444" s="819"/>
      <c r="H444" s="304"/>
      <c r="I444" s="904">
        <v>10</v>
      </c>
      <c r="J444" s="810"/>
      <c r="K444" s="819">
        <v>0</v>
      </c>
      <c r="L444" s="819"/>
      <c r="M444" s="304"/>
      <c r="N444" s="918">
        <v>9</v>
      </c>
      <c r="O444" s="919"/>
      <c r="P444" s="920">
        <v>0</v>
      </c>
      <c r="Q444" s="921"/>
      <c r="R444" s="304"/>
      <c r="S444" s="904">
        <v>30</v>
      </c>
      <c r="T444" s="810"/>
      <c r="U444" s="819">
        <v>0</v>
      </c>
      <c r="V444" s="819"/>
      <c r="W444" s="304"/>
      <c r="X444" s="332"/>
      <c r="Y444" s="332"/>
      <c r="Z444" s="333"/>
      <c r="AA444" s="334"/>
      <c r="AB444" s="265"/>
    </row>
    <row r="445" spans="1:29" ht="27" customHeight="1">
      <c r="A445" s="496"/>
      <c r="B445" s="265"/>
      <c r="C445" s="265"/>
      <c r="D445" s="323"/>
      <c r="E445" s="310"/>
      <c r="F445" s="322"/>
      <c r="G445" s="312"/>
      <c r="H445" s="301"/>
      <c r="I445" s="323"/>
      <c r="J445" s="310"/>
      <c r="K445" s="322"/>
      <c r="L445" s="312"/>
      <c r="M445" s="301"/>
      <c r="N445" s="323"/>
      <c r="O445" s="310"/>
      <c r="P445" s="322"/>
      <c r="Q445" s="312"/>
      <c r="R445" s="301"/>
      <c r="S445" s="317"/>
      <c r="T445" s="317"/>
      <c r="U445" s="328"/>
      <c r="V445" s="318"/>
      <c r="W445" s="301"/>
      <c r="X445" s="317"/>
      <c r="Y445" s="317"/>
      <c r="Z445" s="328"/>
      <c r="AA445" s="318"/>
      <c r="AB445" s="265"/>
    </row>
    <row r="446" spans="1:29" ht="27" customHeight="1">
      <c r="A446" s="514"/>
      <c r="B446" s="281"/>
      <c r="C446" s="281"/>
      <c r="D446" s="515"/>
      <c r="E446" s="516"/>
      <c r="F446" s="517"/>
      <c r="G446" s="518"/>
      <c r="H446" s="519"/>
      <c r="I446" s="515"/>
      <c r="J446" s="516"/>
      <c r="K446" s="517"/>
      <c r="L446" s="518"/>
      <c r="M446" s="519"/>
      <c r="N446" s="515"/>
      <c r="O446" s="516"/>
      <c r="P446" s="517"/>
      <c r="Q446" s="518"/>
      <c r="R446" s="519"/>
      <c r="S446" s="520"/>
      <c r="T446" s="520"/>
      <c r="U446" s="521"/>
      <c r="V446" s="522"/>
      <c r="W446" s="519"/>
      <c r="X446" s="520"/>
      <c r="Y446" s="520"/>
      <c r="Z446" s="521"/>
      <c r="AA446" s="522"/>
      <c r="AB446" s="281"/>
    </row>
    <row r="447" spans="1:29" s="292" customFormat="1" ht="27" customHeight="1">
      <c r="B447" s="471"/>
      <c r="C447" s="726"/>
      <c r="D447" s="727"/>
      <c r="E447" s="726"/>
      <c r="F447" s="726"/>
      <c r="G447" s="726"/>
      <c r="H447" s="726"/>
      <c r="I447" s="726"/>
      <c r="J447" s="726"/>
      <c r="K447" s="72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726"/>
      <c r="Y447" s="726"/>
      <c r="Z447" s="726"/>
      <c r="AA447" s="726"/>
      <c r="AB447" s="471"/>
      <c r="AC447" s="459"/>
    </row>
    <row r="448" spans="1:29" s="205" customFormat="1" ht="15">
      <c r="B448" s="460"/>
      <c r="C448" s="460"/>
      <c r="D448" s="472"/>
      <c r="E448" s="906"/>
      <c r="F448" s="906"/>
      <c r="G448" s="906"/>
      <c r="H448" s="906"/>
      <c r="I448" s="906"/>
      <c r="J448" s="906"/>
      <c r="K448" s="906"/>
      <c r="L448" s="906"/>
      <c r="M448" s="906"/>
      <c r="N448" s="906"/>
      <c r="O448" s="906"/>
      <c r="P448" s="906"/>
      <c r="Q448" s="472"/>
      <c r="R448" s="473"/>
      <c r="S448" s="472"/>
      <c r="T448" s="474"/>
      <c r="U448" s="474"/>
      <c r="V448" s="474"/>
      <c r="W448" s="474"/>
      <c r="X448" s="474"/>
      <c r="Y448" s="474"/>
      <c r="Z448" s="474"/>
      <c r="AA448" s="474"/>
      <c r="AB448" s="474"/>
      <c r="AC448" s="460"/>
    </row>
    <row r="449" spans="2:29" s="205" customFormat="1" ht="18.75">
      <c r="B449" s="475"/>
      <c r="C449" s="724"/>
      <c r="D449" s="724"/>
      <c r="E449" s="724"/>
      <c r="F449" s="724"/>
      <c r="G449" s="724"/>
      <c r="H449" s="724"/>
      <c r="I449" s="724"/>
      <c r="J449" s="724"/>
      <c r="K449" s="724"/>
      <c r="L449" s="724"/>
      <c r="M449" s="724"/>
      <c r="N449" s="724"/>
      <c r="O449" s="724"/>
      <c r="P449" s="724"/>
      <c r="Q449" s="724"/>
      <c r="R449" s="724"/>
      <c r="S449" s="724"/>
      <c r="T449" s="724"/>
      <c r="U449" s="724"/>
      <c r="V449" s="724"/>
      <c r="W449" s="724"/>
      <c r="X449" s="724"/>
      <c r="Y449" s="724"/>
      <c r="Z449" s="724"/>
      <c r="AA449" s="724"/>
      <c r="AB449" s="475"/>
      <c r="AC449" s="460"/>
    </row>
    <row r="450" spans="2:29" s="205" customFormat="1" ht="5.0999999999999996" customHeight="1">
      <c r="B450" s="475"/>
      <c r="C450" s="475"/>
      <c r="D450" s="476"/>
      <c r="E450" s="476"/>
      <c r="F450" s="476"/>
      <c r="G450" s="476"/>
      <c r="H450" s="476"/>
      <c r="I450" s="476"/>
      <c r="J450" s="476"/>
      <c r="K450" s="476"/>
      <c r="L450" s="476"/>
      <c r="M450" s="476"/>
      <c r="N450" s="476"/>
      <c r="O450" s="476"/>
      <c r="P450" s="476"/>
      <c r="Q450" s="476"/>
      <c r="R450" s="476"/>
      <c r="S450" s="476"/>
      <c r="T450" s="476"/>
      <c r="U450" s="476"/>
      <c r="V450" s="476"/>
      <c r="W450" s="476"/>
      <c r="X450" s="476"/>
      <c r="Y450" s="476"/>
      <c r="Z450" s="476"/>
      <c r="AA450" s="476"/>
      <c r="AB450" s="476"/>
      <c r="AC450" s="460"/>
    </row>
    <row r="451" spans="2:29" s="205" customFormat="1" ht="22.5" customHeight="1">
      <c r="B451" s="477"/>
      <c r="C451" s="477"/>
      <c r="D451" s="725"/>
      <c r="E451" s="725"/>
      <c r="F451" s="725"/>
      <c r="G451" s="725"/>
      <c r="H451" s="725"/>
      <c r="I451" s="725"/>
      <c r="J451" s="725"/>
      <c r="K451" s="725"/>
      <c r="L451" s="725"/>
      <c r="M451" s="725"/>
      <c r="N451" s="725"/>
      <c r="O451" s="725"/>
      <c r="P451" s="725"/>
      <c r="Q451" s="725"/>
      <c r="R451" s="725"/>
      <c r="S451" s="725"/>
      <c r="T451" s="725"/>
      <c r="U451" s="725"/>
      <c r="V451" s="725"/>
      <c r="W451" s="725"/>
      <c r="X451" s="725"/>
      <c r="Y451" s="725"/>
      <c r="Z451" s="725"/>
      <c r="AA451" s="725"/>
      <c r="AB451" s="477"/>
      <c r="AC451" s="460"/>
    </row>
    <row r="452" spans="2:29" s="205" customFormat="1" ht="27" customHeight="1">
      <c r="B452" s="477"/>
      <c r="C452" s="477"/>
      <c r="D452" s="482"/>
      <c r="E452" s="482"/>
      <c r="F452" s="482"/>
      <c r="G452" s="482"/>
      <c r="H452" s="482"/>
      <c r="I452" s="482"/>
      <c r="J452" s="482"/>
      <c r="K452" s="482"/>
      <c r="L452" s="482"/>
      <c r="M452" s="482"/>
      <c r="N452" s="482"/>
      <c r="O452" s="482"/>
      <c r="P452" s="482"/>
      <c r="Q452" s="482"/>
      <c r="R452" s="482"/>
      <c r="S452" s="482"/>
      <c r="T452" s="482"/>
      <c r="U452" s="482"/>
      <c r="V452" s="482"/>
      <c r="W452" s="482"/>
      <c r="X452" s="482"/>
      <c r="Y452" s="482"/>
      <c r="Z452" s="482"/>
      <c r="AA452" s="482"/>
      <c r="AB452" s="477"/>
      <c r="AC452" s="460"/>
    </row>
    <row r="453" spans="2:29" s="205" customFormat="1" ht="27" customHeight="1">
      <c r="B453" s="699" t="s">
        <v>620</v>
      </c>
      <c r="C453" s="699"/>
      <c r="D453" s="699"/>
      <c r="E453" s="699"/>
      <c r="F453" s="699"/>
      <c r="G453" s="699"/>
      <c r="H453" s="699"/>
      <c r="I453" s="699"/>
      <c r="J453" s="699"/>
      <c r="K453" s="699"/>
      <c r="L453" s="699"/>
      <c r="M453" s="699"/>
      <c r="N453" s="699"/>
      <c r="O453" s="699"/>
      <c r="P453" s="699"/>
      <c r="Q453" s="699"/>
      <c r="R453" s="479"/>
      <c r="S453" s="700" t="s">
        <v>621</v>
      </c>
      <c r="T453" s="700"/>
      <c r="U453" s="700"/>
      <c r="V453" s="700"/>
      <c r="W453" s="700"/>
      <c r="X453" s="700"/>
      <c r="Y453" s="700"/>
      <c r="Z453" s="700"/>
      <c r="AA453" s="700"/>
      <c r="AB453" s="700"/>
      <c r="AC453" s="460"/>
    </row>
    <row r="454" spans="2:29" s="528" customFormat="1" ht="27" customHeight="1">
      <c r="B454" s="815" t="s">
        <v>622</v>
      </c>
      <c r="C454" s="815"/>
      <c r="D454" s="815"/>
      <c r="E454" s="815"/>
      <c r="F454" s="815"/>
      <c r="G454" s="815"/>
      <c r="H454" s="708"/>
      <c r="I454" s="709"/>
      <c r="J454" s="709"/>
      <c r="K454" s="709"/>
      <c r="L454" s="709"/>
      <c r="M454" s="709"/>
      <c r="N454" s="709"/>
      <c r="O454" s="709"/>
      <c r="P454" s="709"/>
      <c r="Q454" s="710"/>
      <c r="R454" s="480"/>
      <c r="S454" s="694" t="s">
        <v>15</v>
      </c>
      <c r="T454" s="695"/>
      <c r="U454" s="695"/>
      <c r="V454" s="695"/>
      <c r="W454" s="695"/>
      <c r="X454" s="723"/>
      <c r="Y454" s="849">
        <f>Resume!P12</f>
        <v>0</v>
      </c>
      <c r="Z454" s="850"/>
      <c r="AA454" s="850"/>
      <c r="AB454" s="850"/>
      <c r="AC454" s="527"/>
    </row>
    <row r="455" spans="2:29" s="528" customFormat="1" ht="27" customHeight="1">
      <c r="B455" s="815" t="s">
        <v>623</v>
      </c>
      <c r="C455" s="815"/>
      <c r="D455" s="815"/>
      <c r="E455" s="815"/>
      <c r="F455" s="815"/>
      <c r="G455" s="815"/>
      <c r="H455" s="708"/>
      <c r="I455" s="709"/>
      <c r="J455" s="709"/>
      <c r="K455" s="709"/>
      <c r="L455" s="709"/>
      <c r="M455" s="709"/>
      <c r="N455" s="709"/>
      <c r="O455" s="709"/>
      <c r="P455" s="709"/>
      <c r="Q455" s="710"/>
      <c r="R455" s="480"/>
      <c r="S455" s="694" t="s">
        <v>1</v>
      </c>
      <c r="T455" s="695"/>
      <c r="U455" s="695"/>
      <c r="V455" s="695"/>
      <c r="W455" s="695"/>
      <c r="X455" s="723"/>
      <c r="Y455" s="851">
        <f>Resume!P22</f>
        <v>0</v>
      </c>
      <c r="Z455" s="850"/>
      <c r="AA455" s="850"/>
      <c r="AB455" s="850"/>
      <c r="AC455" s="527"/>
    </row>
    <row r="456" spans="2:29" s="528" customFormat="1" ht="27" customHeight="1">
      <c r="B456" s="815" t="s">
        <v>624</v>
      </c>
      <c r="C456" s="815"/>
      <c r="D456" s="815"/>
      <c r="E456" s="815"/>
      <c r="F456" s="815"/>
      <c r="G456" s="815"/>
      <c r="H456" s="708"/>
      <c r="I456" s="709"/>
      <c r="J456" s="709"/>
      <c r="K456" s="709"/>
      <c r="L456" s="709"/>
      <c r="M456" s="709"/>
      <c r="N456" s="709"/>
      <c r="O456" s="709"/>
      <c r="P456" s="709"/>
      <c r="Q456" s="710"/>
      <c r="R456" s="535"/>
      <c r="S456" s="694" t="s">
        <v>367</v>
      </c>
      <c r="T456" s="695"/>
      <c r="U456" s="695"/>
      <c r="V456" s="695"/>
      <c r="W456" s="695"/>
      <c r="X456" s="723"/>
      <c r="Y456" s="849">
        <f>Resume!P44</f>
        <v>0</v>
      </c>
      <c r="Z456" s="850"/>
      <c r="AA456" s="850"/>
      <c r="AB456" s="850"/>
      <c r="AC456" s="527"/>
    </row>
    <row r="457" spans="2:29" s="528" customFormat="1" ht="27" customHeight="1">
      <c r="B457" s="815" t="s">
        <v>625</v>
      </c>
      <c r="C457" s="815"/>
      <c r="D457" s="815"/>
      <c r="E457" s="815"/>
      <c r="F457" s="815"/>
      <c r="G457" s="815"/>
      <c r="H457" s="711"/>
      <c r="I457" s="712"/>
      <c r="J457" s="712"/>
      <c r="K457" s="712"/>
      <c r="L457" s="712"/>
      <c r="M457" s="712"/>
      <c r="N457" s="712"/>
      <c r="O457" s="712"/>
      <c r="P457" s="712"/>
      <c r="Q457" s="713"/>
      <c r="R457" s="535"/>
      <c r="S457" s="694" t="s">
        <v>368</v>
      </c>
      <c r="T457" s="695"/>
      <c r="U457" s="695"/>
      <c r="V457" s="695"/>
      <c r="W457" s="695"/>
      <c r="X457" s="723"/>
      <c r="Y457" s="851">
        <f>Resume!P77</f>
        <v>0</v>
      </c>
      <c r="Z457" s="850"/>
      <c r="AA457" s="850"/>
      <c r="AB457" s="850"/>
      <c r="AC457" s="527"/>
    </row>
    <row r="458" spans="2:29" s="528" customFormat="1" ht="27" customHeight="1">
      <c r="B458" s="815" t="s">
        <v>626</v>
      </c>
      <c r="C458" s="815"/>
      <c r="D458" s="815"/>
      <c r="E458" s="815"/>
      <c r="F458" s="815"/>
      <c r="G458" s="815"/>
      <c r="H458" s="708"/>
      <c r="I458" s="709"/>
      <c r="J458" s="709"/>
      <c r="K458" s="709"/>
      <c r="L458" s="709"/>
      <c r="M458" s="709"/>
      <c r="N458" s="709"/>
      <c r="O458" s="709"/>
      <c r="P458" s="709"/>
      <c r="Q458" s="710"/>
      <c r="R458" s="535"/>
      <c r="S458" s="694" t="s">
        <v>16</v>
      </c>
      <c r="T458" s="695"/>
      <c r="U458" s="695"/>
      <c r="V458" s="695"/>
      <c r="W458" s="695"/>
      <c r="X458" s="723"/>
      <c r="Y458" s="851">
        <f>Resume!P122</f>
        <v>0</v>
      </c>
      <c r="Z458" s="852"/>
      <c r="AA458" s="852"/>
      <c r="AB458" s="852"/>
      <c r="AC458" s="527"/>
    </row>
    <row r="459" spans="2:29" s="528" customFormat="1" ht="27" customHeight="1">
      <c r="B459" s="815" t="s">
        <v>627</v>
      </c>
      <c r="C459" s="815"/>
      <c r="D459" s="815"/>
      <c r="E459" s="815"/>
      <c r="F459" s="815"/>
      <c r="G459" s="815"/>
      <c r="H459" s="714" t="s">
        <v>477</v>
      </c>
      <c r="I459" s="715"/>
      <c r="J459" s="715"/>
      <c r="K459" s="715"/>
      <c r="L459" s="715"/>
      <c r="M459" s="715"/>
      <c r="N459" s="715"/>
      <c r="O459" s="715"/>
      <c r="P459" s="715"/>
      <c r="Q459" s="716"/>
      <c r="R459" s="536"/>
      <c r="S459" s="694" t="s">
        <v>619</v>
      </c>
      <c r="T459" s="695"/>
      <c r="U459" s="695"/>
      <c r="V459" s="695"/>
      <c r="W459" s="695"/>
      <c r="X459" s="723"/>
      <c r="Y459" s="821">
        <f>Resume!P125</f>
        <v>0</v>
      </c>
      <c r="Z459" s="821"/>
      <c r="AA459" s="821"/>
      <c r="AB459" s="821"/>
      <c r="AC459" s="527"/>
    </row>
    <row r="460" spans="2:29" s="528" customFormat="1" ht="27" customHeight="1">
      <c r="B460" s="815" t="s">
        <v>628</v>
      </c>
      <c r="C460" s="815"/>
      <c r="D460" s="815"/>
      <c r="E460" s="815"/>
      <c r="F460" s="815"/>
      <c r="G460" s="815"/>
      <c r="H460" s="717"/>
      <c r="I460" s="718"/>
      <c r="J460" s="718"/>
      <c r="K460" s="718"/>
      <c r="L460" s="718"/>
      <c r="M460" s="718"/>
      <c r="N460" s="718"/>
      <c r="O460" s="718"/>
      <c r="P460" s="718"/>
      <c r="Q460" s="719"/>
      <c r="R460" s="535"/>
      <c r="S460" s="694" t="s">
        <v>122</v>
      </c>
      <c r="T460" s="695"/>
      <c r="U460" s="695"/>
      <c r="V460" s="695"/>
      <c r="W460" s="695"/>
      <c r="X460" s="723"/>
      <c r="Y460" s="849">
        <f>Resume!P142</f>
        <v>0</v>
      </c>
      <c r="Z460" s="850"/>
      <c r="AA460" s="850"/>
      <c r="AB460" s="850"/>
      <c r="AC460" s="527"/>
    </row>
    <row r="461" spans="2:29" s="528" customFormat="1" ht="27" customHeight="1">
      <c r="B461" s="815" t="s">
        <v>629</v>
      </c>
      <c r="C461" s="815"/>
      <c r="D461" s="815"/>
      <c r="E461" s="815"/>
      <c r="F461" s="815"/>
      <c r="G461" s="815"/>
      <c r="H461" s="720" t="s">
        <v>647</v>
      </c>
      <c r="I461" s="721"/>
      <c r="J461" s="721"/>
      <c r="K461" s="721"/>
      <c r="L461" s="721"/>
      <c r="M461" s="721"/>
      <c r="N461" s="721"/>
      <c r="O461" s="721"/>
      <c r="P461" s="721"/>
      <c r="Q461" s="722"/>
      <c r="R461" s="537"/>
      <c r="S461" s="694" t="s">
        <v>650</v>
      </c>
      <c r="T461" s="695"/>
      <c r="U461" s="695"/>
      <c r="V461" s="695"/>
      <c r="W461" s="695"/>
      <c r="X461" s="723"/>
      <c r="Y461" s="852">
        <f>Resume!P151</f>
        <v>0</v>
      </c>
      <c r="Z461" s="852"/>
      <c r="AA461" s="852"/>
      <c r="AB461" s="852"/>
      <c r="AC461" s="527"/>
    </row>
    <row r="462" spans="2:29" s="528" customFormat="1" ht="27" customHeight="1">
      <c r="B462" s="815" t="s">
        <v>630</v>
      </c>
      <c r="C462" s="815"/>
      <c r="D462" s="815"/>
      <c r="E462" s="815"/>
      <c r="F462" s="815"/>
      <c r="G462" s="815"/>
      <c r="H462" s="717"/>
      <c r="I462" s="718"/>
      <c r="J462" s="718"/>
      <c r="K462" s="718"/>
      <c r="L462" s="718"/>
      <c r="M462" s="718"/>
      <c r="N462" s="718"/>
      <c r="O462" s="718"/>
      <c r="P462" s="718"/>
      <c r="Q462" s="719"/>
      <c r="R462" s="535"/>
      <c r="S462" s="694" t="s">
        <v>123</v>
      </c>
      <c r="T462" s="695"/>
      <c r="U462" s="695"/>
      <c r="V462" s="695"/>
      <c r="W462" s="695"/>
      <c r="X462" s="723"/>
      <c r="Y462" s="821">
        <f>Resume!P168</f>
        <v>0</v>
      </c>
      <c r="Z462" s="821"/>
      <c r="AA462" s="821"/>
      <c r="AB462" s="821"/>
      <c r="AC462" s="527"/>
    </row>
    <row r="463" spans="2:29" s="528" customFormat="1" ht="27" customHeight="1">
      <c r="B463" s="538"/>
      <c r="C463" s="538"/>
      <c r="D463" s="538"/>
      <c r="E463" s="538"/>
      <c r="F463" s="538"/>
      <c r="G463" s="538"/>
      <c r="H463" s="539"/>
      <c r="I463" s="539"/>
      <c r="J463" s="539"/>
      <c r="K463" s="539"/>
      <c r="L463" s="539"/>
      <c r="M463" s="539"/>
      <c r="N463" s="539"/>
      <c r="O463" s="539"/>
      <c r="P463" s="539"/>
      <c r="Q463" s="539"/>
      <c r="R463" s="540"/>
      <c r="S463" s="683" t="s">
        <v>28</v>
      </c>
      <c r="T463" s="684"/>
      <c r="U463" s="684"/>
      <c r="V463" s="684"/>
      <c r="W463" s="684"/>
      <c r="X463" s="685"/>
      <c r="Y463" s="820">
        <v>0</v>
      </c>
      <c r="Z463" s="820"/>
      <c r="AA463" s="820"/>
      <c r="AB463" s="820"/>
      <c r="AC463" s="527"/>
    </row>
    <row r="464" spans="2:29" s="528" customFormat="1" ht="27" customHeight="1">
      <c r="B464" s="541"/>
      <c r="C464" s="541"/>
      <c r="D464" s="541"/>
      <c r="E464" s="541"/>
      <c r="F464" s="541"/>
      <c r="G464" s="541"/>
      <c r="H464" s="542"/>
      <c r="I464" s="542"/>
      <c r="J464" s="542"/>
      <c r="K464" s="542"/>
      <c r="L464" s="542"/>
      <c r="M464" s="542"/>
      <c r="N464" s="542"/>
      <c r="O464" s="542"/>
      <c r="P464" s="542"/>
      <c r="Q464" s="542"/>
      <c r="R464" s="542"/>
      <c r="S464" s="686" t="s">
        <v>28</v>
      </c>
      <c r="T464" s="687"/>
      <c r="U464" s="687"/>
      <c r="V464" s="687"/>
      <c r="W464" s="687"/>
      <c r="X464" s="687"/>
      <c r="Y464" s="837">
        <v>0</v>
      </c>
      <c r="Z464" s="838"/>
      <c r="AA464" s="838"/>
      <c r="AB464" s="839"/>
      <c r="AC464" s="527"/>
    </row>
    <row r="465" spans="2:29" s="528" customFormat="1" ht="27" customHeight="1">
      <c r="B465" s="541"/>
      <c r="C465" s="541"/>
      <c r="D465" s="541"/>
      <c r="E465" s="541"/>
      <c r="F465" s="541"/>
      <c r="G465" s="541"/>
      <c r="H465" s="542"/>
      <c r="I465" s="542"/>
      <c r="J465" s="542"/>
      <c r="K465" s="542"/>
      <c r="L465" s="542"/>
      <c r="M465" s="542"/>
      <c r="N465" s="542"/>
      <c r="O465" s="542"/>
      <c r="P465" s="542"/>
      <c r="Q465" s="542"/>
      <c r="R465" s="542"/>
      <c r="S465" s="688" t="s">
        <v>17</v>
      </c>
      <c r="T465" s="689"/>
      <c r="U465" s="689"/>
      <c r="V465" s="689"/>
      <c r="W465" s="689"/>
      <c r="X465" s="690"/>
      <c r="Y465" s="834">
        <f>SUM(Y454:Y464)</f>
        <v>0</v>
      </c>
      <c r="Z465" s="835"/>
      <c r="AA465" s="835"/>
      <c r="AB465" s="836"/>
      <c r="AC465" s="527"/>
    </row>
    <row r="466" spans="2:29" s="528" customFormat="1" ht="27" customHeight="1">
      <c r="B466" s="478"/>
      <c r="C466" s="478"/>
      <c r="D466" s="478"/>
      <c r="E466" s="478"/>
      <c r="F466" s="478"/>
      <c r="G466" s="478"/>
      <c r="H466" s="478"/>
      <c r="I466" s="478"/>
      <c r="J466" s="478"/>
      <c r="K466" s="478"/>
      <c r="L466" s="478"/>
      <c r="M466" s="478"/>
      <c r="N466" s="478"/>
      <c r="O466" s="478"/>
      <c r="P466" s="478"/>
      <c r="Q466" s="478"/>
      <c r="R466" s="478"/>
      <c r="S466" s="691" t="s">
        <v>27</v>
      </c>
      <c r="T466" s="692"/>
      <c r="U466" s="692"/>
      <c r="V466" s="692"/>
      <c r="W466" s="692"/>
      <c r="X466" s="693"/>
      <c r="Y466" s="843">
        <f>IF(Y465&lt;100,25,0)</f>
        <v>25</v>
      </c>
      <c r="Z466" s="844"/>
      <c r="AA466" s="844"/>
      <c r="AB466" s="845"/>
      <c r="AC466" s="527"/>
    </row>
    <row r="467" spans="2:29" s="528" customFormat="1" ht="27" customHeight="1">
      <c r="B467" s="478"/>
      <c r="C467" s="478"/>
      <c r="D467" s="478"/>
      <c r="E467" s="478"/>
      <c r="F467" s="478"/>
      <c r="G467" s="478"/>
      <c r="H467" s="478"/>
      <c r="I467" s="478"/>
      <c r="J467" s="478"/>
      <c r="K467" s="478"/>
      <c r="L467" s="478"/>
      <c r="M467" s="478"/>
      <c r="N467" s="478"/>
      <c r="O467" s="478"/>
      <c r="P467" s="478"/>
      <c r="Q467" s="478"/>
      <c r="R467" s="478"/>
      <c r="S467" s="694" t="s">
        <v>29</v>
      </c>
      <c r="T467" s="695"/>
      <c r="U467" s="695"/>
      <c r="V467" s="695"/>
      <c r="W467" s="695"/>
      <c r="X467" s="695"/>
      <c r="Y467" s="846">
        <v>0</v>
      </c>
      <c r="Z467" s="847"/>
      <c r="AA467" s="847"/>
      <c r="AB467" s="848"/>
      <c r="AC467" s="527"/>
    </row>
    <row r="468" spans="2:29" s="528" customFormat="1" ht="27" customHeight="1">
      <c r="B468" s="478"/>
      <c r="C468" s="478"/>
      <c r="D468" s="478"/>
      <c r="E468" s="478"/>
      <c r="F468" s="478"/>
      <c r="G468" s="478"/>
      <c r="H468" s="478"/>
      <c r="I468" s="478"/>
      <c r="J468" s="478"/>
      <c r="K468" s="478"/>
      <c r="L468" s="478"/>
      <c r="M468" s="478"/>
      <c r="N468" s="478"/>
      <c r="O468" s="478"/>
      <c r="P468" s="478"/>
      <c r="Q468" s="478"/>
      <c r="R468" s="478"/>
      <c r="S468" s="686" t="s">
        <v>30</v>
      </c>
      <c r="T468" s="687"/>
      <c r="U468" s="687"/>
      <c r="V468" s="687"/>
      <c r="W468" s="687"/>
      <c r="X468" s="687"/>
      <c r="Y468" s="846">
        <v>0</v>
      </c>
      <c r="Z468" s="847"/>
      <c r="AA468" s="847"/>
      <c r="AB468" s="848"/>
      <c r="AC468" s="527"/>
    </row>
    <row r="469" spans="2:29" s="528" customFormat="1" ht="27" customHeight="1">
      <c r="B469" s="543"/>
      <c r="C469" s="543"/>
      <c r="D469" s="543"/>
      <c r="E469" s="543"/>
      <c r="F469" s="543"/>
      <c r="G469" s="543"/>
      <c r="H469" s="543"/>
      <c r="I469" s="543"/>
      <c r="J469" s="543"/>
      <c r="K469" s="543"/>
      <c r="L469" s="543"/>
      <c r="M469" s="543"/>
      <c r="N469" s="543"/>
      <c r="O469" s="543"/>
      <c r="P469" s="543"/>
      <c r="Q469" s="543"/>
      <c r="R469" s="543"/>
      <c r="S469" s="696" t="s">
        <v>6</v>
      </c>
      <c r="T469" s="697"/>
      <c r="U469" s="697"/>
      <c r="V469" s="697"/>
      <c r="W469" s="697"/>
      <c r="X469" s="698"/>
      <c r="Y469" s="840">
        <f>Y465+Y466+Y467+Y468</f>
        <v>25</v>
      </c>
      <c r="Z469" s="841"/>
      <c r="AA469" s="841"/>
      <c r="AB469" s="842"/>
      <c r="AC469" s="527"/>
    </row>
    <row r="472" spans="2:29" hidden="1">
      <c r="D472" s="188" t="s">
        <v>518</v>
      </c>
    </row>
    <row r="473" spans="2:29" hidden="1">
      <c r="D473" s="188" t="s">
        <v>519</v>
      </c>
    </row>
    <row r="474" spans="2:29" hidden="1"/>
    <row r="475" spans="2:29" hidden="1">
      <c r="D475" s="206" t="s">
        <v>595</v>
      </c>
    </row>
    <row r="476" spans="2:29" hidden="1">
      <c r="D476" s="206" t="s">
        <v>596</v>
      </c>
    </row>
  </sheetData>
  <mergeCells count="1536">
    <mergeCell ref="F31:H31"/>
    <mergeCell ref="D16:H17"/>
    <mergeCell ref="J16:N17"/>
    <mergeCell ref="Q16:U17"/>
    <mergeCell ref="W16:AA17"/>
    <mergeCell ref="AC388:AF388"/>
    <mergeCell ref="AD389:AG389"/>
    <mergeCell ref="AD387:AG387"/>
    <mergeCell ref="I28:K28"/>
    <mergeCell ref="I30:K30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L29:M29"/>
    <mergeCell ref="D22:F22"/>
    <mergeCell ref="D23:F23"/>
    <mergeCell ref="D24:F24"/>
    <mergeCell ref="D25:F25"/>
    <mergeCell ref="G22:H22"/>
    <mergeCell ref="G24:H24"/>
    <mergeCell ref="G23:H23"/>
    <mergeCell ref="G25:H25"/>
    <mergeCell ref="G28:H28"/>
    <mergeCell ref="G29:H29"/>
    <mergeCell ref="G30:H30"/>
    <mergeCell ref="I443:L443"/>
    <mergeCell ref="D444:E444"/>
    <mergeCell ref="F444:G444"/>
    <mergeCell ref="I444:J444"/>
    <mergeCell ref="K444:L444"/>
    <mergeCell ref="I436:L441"/>
    <mergeCell ref="F401:G401"/>
    <mergeCell ref="D363:G363"/>
    <mergeCell ref="D369:G369"/>
    <mergeCell ref="I369:L369"/>
    <mergeCell ref="D397:G397"/>
    <mergeCell ref="D396:G396"/>
    <mergeCell ref="I396:L396"/>
    <mergeCell ref="D390:E390"/>
    <mergeCell ref="D389:G389"/>
    <mergeCell ref="D312:G312"/>
    <mergeCell ref="D424:E424"/>
    <mergeCell ref="I41:L41"/>
    <mergeCell ref="D436:G436"/>
    <mergeCell ref="D437:G437"/>
    <mergeCell ref="D439:G439"/>
    <mergeCell ref="D175:G180"/>
    <mergeCell ref="D372:G372"/>
    <mergeCell ref="I335:L335"/>
    <mergeCell ref="D331:G331"/>
    <mergeCell ref="I25:K25"/>
    <mergeCell ref="I26:K26"/>
    <mergeCell ref="D296:E296"/>
    <mergeCell ref="X313:AA313"/>
    <mergeCell ref="X316:AA316"/>
    <mergeCell ref="X352:AA352"/>
    <mergeCell ref="X260:AA260"/>
    <mergeCell ref="X270:AA270"/>
    <mergeCell ref="I240:L240"/>
    <mergeCell ref="X252:Y252"/>
    <mergeCell ref="X239:AA239"/>
    <mergeCell ref="F263:G263"/>
    <mergeCell ref="S278:V278"/>
    <mergeCell ref="S280:V280"/>
    <mergeCell ref="S281:V281"/>
    <mergeCell ref="S282:V282"/>
    <mergeCell ref="S285:T285"/>
    <mergeCell ref="U285:V285"/>
    <mergeCell ref="N332:O332"/>
    <mergeCell ref="X317:AA317"/>
    <mergeCell ref="I348:L348"/>
    <mergeCell ref="N312:Q312"/>
    <mergeCell ref="Z320:AA320"/>
    <mergeCell ref="U320:V320"/>
    <mergeCell ref="X318:AA318"/>
    <mergeCell ref="X319:AA319"/>
    <mergeCell ref="S203:V203"/>
    <mergeCell ref="D210:G210"/>
    <mergeCell ref="S233:V238"/>
    <mergeCell ref="I255:L260"/>
    <mergeCell ref="I352:L352"/>
    <mergeCell ref="D292:G292"/>
    <mergeCell ref="X411:AA411"/>
    <mergeCell ref="N409:Q409"/>
    <mergeCell ref="F414:G414"/>
    <mergeCell ref="D414:E414"/>
    <mergeCell ref="X414:Y414"/>
    <mergeCell ref="N382:Q382"/>
    <mergeCell ref="K182:L182"/>
    <mergeCell ref="N175:Q175"/>
    <mergeCell ref="N176:Q176"/>
    <mergeCell ref="X233:AA238"/>
    <mergeCell ref="X223:AA223"/>
    <mergeCell ref="D282:G282"/>
    <mergeCell ref="D271:G271"/>
    <mergeCell ref="U263:V263"/>
    <mergeCell ref="N292:Q292"/>
    <mergeCell ref="N295:Q295"/>
    <mergeCell ref="P390:Q390"/>
    <mergeCell ref="S387:V387"/>
    <mergeCell ref="D209:G209"/>
    <mergeCell ref="I175:L175"/>
    <mergeCell ref="X364:AA364"/>
    <mergeCell ref="X383:AA383"/>
    <mergeCell ref="D401:E401"/>
    <mergeCell ref="X406:AA406"/>
    <mergeCell ref="D329:G329"/>
    <mergeCell ref="K252:L252"/>
    <mergeCell ref="S396:V396"/>
    <mergeCell ref="I366:J366"/>
    <mergeCell ref="U366:V366"/>
    <mergeCell ref="Z366:AA366"/>
    <mergeCell ref="I386:L386"/>
    <mergeCell ref="N364:Q364"/>
    <mergeCell ref="D404:AA404"/>
    <mergeCell ref="D380:AA380"/>
    <mergeCell ref="N386:Q386"/>
    <mergeCell ref="D366:E366"/>
    <mergeCell ref="S200:V200"/>
    <mergeCell ref="X351:AA351"/>
    <mergeCell ref="X410:AA410"/>
    <mergeCell ref="S410:V410"/>
    <mergeCell ref="I361:L361"/>
    <mergeCell ref="D359:G359"/>
    <mergeCell ref="I359:L359"/>
    <mergeCell ref="X407:AA407"/>
    <mergeCell ref="S412:V412"/>
    <mergeCell ref="N407:Q407"/>
    <mergeCell ref="I406:L411"/>
    <mergeCell ref="X398:AA398"/>
    <mergeCell ref="I387:L387"/>
    <mergeCell ref="I385:L385"/>
    <mergeCell ref="N355:O355"/>
    <mergeCell ref="N362:Q362"/>
    <mergeCell ref="X355:Y355"/>
    <mergeCell ref="D382:G382"/>
    <mergeCell ref="I372:L372"/>
    <mergeCell ref="D373:G373"/>
    <mergeCell ref="I373:L373"/>
    <mergeCell ref="D374:G374"/>
    <mergeCell ref="D377:E377"/>
    <mergeCell ref="F377:G377"/>
    <mergeCell ref="I377:J377"/>
    <mergeCell ref="D355:E355"/>
    <mergeCell ref="I365:L365"/>
    <mergeCell ref="X366:Y366"/>
    <mergeCell ref="Z355:AA355"/>
    <mergeCell ref="S399:V399"/>
    <mergeCell ref="S400:V400"/>
    <mergeCell ref="S401:T401"/>
    <mergeCell ref="U401:V401"/>
    <mergeCell ref="X390:Y390"/>
    <mergeCell ref="S406:V406"/>
    <mergeCell ref="X396:AA396"/>
    <mergeCell ref="X394:AA394"/>
    <mergeCell ref="X393:AA393"/>
    <mergeCell ref="N388:Q388"/>
    <mergeCell ref="N390:O390"/>
    <mergeCell ref="X288:AA288"/>
    <mergeCell ref="F296:G296"/>
    <mergeCell ref="I370:L370"/>
    <mergeCell ref="X401:Y401"/>
    <mergeCell ref="N389:Q389"/>
    <mergeCell ref="X388:AA388"/>
    <mergeCell ref="I390:J390"/>
    <mergeCell ref="D387:G387"/>
    <mergeCell ref="S386:V386"/>
    <mergeCell ref="K390:L390"/>
    <mergeCell ref="F390:G390"/>
    <mergeCell ref="N359:Q359"/>
    <mergeCell ref="D375:G375"/>
    <mergeCell ref="I375:L375"/>
    <mergeCell ref="X328:AA328"/>
    <mergeCell ref="S329:V329"/>
    <mergeCell ref="S394:V394"/>
    <mergeCell ref="I358:L358"/>
    <mergeCell ref="X387:AA387"/>
    <mergeCell ref="S351:V351"/>
    <mergeCell ref="D394:G394"/>
    <mergeCell ref="N385:Q385"/>
    <mergeCell ref="X330:AA330"/>
    <mergeCell ref="X331:AA331"/>
    <mergeCell ref="I389:L389"/>
    <mergeCell ref="K401:L401"/>
    <mergeCell ref="I399:L399"/>
    <mergeCell ref="X399:AA399"/>
    <mergeCell ref="S397:V397"/>
    <mergeCell ref="S407:V407"/>
    <mergeCell ref="Z401:AA401"/>
    <mergeCell ref="D399:G399"/>
    <mergeCell ref="S390:T390"/>
    <mergeCell ref="I351:L351"/>
    <mergeCell ref="I353:L353"/>
    <mergeCell ref="F332:G332"/>
    <mergeCell ref="X386:AA386"/>
    <mergeCell ref="S385:V385"/>
    <mergeCell ref="X385:AA385"/>
    <mergeCell ref="N387:Q387"/>
    <mergeCell ref="N366:O366"/>
    <mergeCell ref="S383:V383"/>
    <mergeCell ref="S366:T366"/>
    <mergeCell ref="I382:L382"/>
    <mergeCell ref="K355:L355"/>
    <mergeCell ref="X350:AA350"/>
    <mergeCell ref="X382:AA382"/>
    <mergeCell ref="I383:L383"/>
    <mergeCell ref="X397:AA397"/>
    <mergeCell ref="X353:AA353"/>
    <mergeCell ref="F355:G355"/>
    <mergeCell ref="S352:V352"/>
    <mergeCell ref="S353:V353"/>
    <mergeCell ref="X348:AA348"/>
    <mergeCell ref="N363:Q363"/>
    <mergeCell ref="N354:Q354"/>
    <mergeCell ref="I363:L363"/>
    <mergeCell ref="D365:G365"/>
    <mergeCell ref="I398:L398"/>
    <mergeCell ref="S389:V389"/>
    <mergeCell ref="I388:L388"/>
    <mergeCell ref="I325:L325"/>
    <mergeCell ref="D358:G358"/>
    <mergeCell ref="S364:V364"/>
    <mergeCell ref="X389:AA389"/>
    <mergeCell ref="P355:Q355"/>
    <mergeCell ref="X365:AA365"/>
    <mergeCell ref="X354:AA354"/>
    <mergeCell ref="F366:G366"/>
    <mergeCell ref="D364:G364"/>
    <mergeCell ref="D388:G388"/>
    <mergeCell ref="P332:Q332"/>
    <mergeCell ref="N351:Q351"/>
    <mergeCell ref="U390:V390"/>
    <mergeCell ref="S393:V393"/>
    <mergeCell ref="S358:V363"/>
    <mergeCell ref="K366:L366"/>
    <mergeCell ref="N361:Q361"/>
    <mergeCell ref="I355:J355"/>
    <mergeCell ref="U332:V332"/>
    <mergeCell ref="F343:G343"/>
    <mergeCell ref="I343:J343"/>
    <mergeCell ref="K343:L343"/>
    <mergeCell ref="I393:L393"/>
    <mergeCell ref="P366:Q366"/>
    <mergeCell ref="I324:L324"/>
    <mergeCell ref="S289:V289"/>
    <mergeCell ref="D325:G325"/>
    <mergeCell ref="X289:AA289"/>
    <mergeCell ref="X358:AA363"/>
    <mergeCell ref="X329:AA329"/>
    <mergeCell ref="N294:Q294"/>
    <mergeCell ref="I294:L294"/>
    <mergeCell ref="S293:V293"/>
    <mergeCell ref="S348:V348"/>
    <mergeCell ref="D319:G319"/>
    <mergeCell ref="D327:G327"/>
    <mergeCell ref="I327:L327"/>
    <mergeCell ref="N315:Q315"/>
    <mergeCell ref="D318:G318"/>
    <mergeCell ref="S318:V318"/>
    <mergeCell ref="X315:AA315"/>
    <mergeCell ref="X347:AA347"/>
    <mergeCell ref="S354:V354"/>
    <mergeCell ref="N358:Q358"/>
    <mergeCell ref="X325:AA325"/>
    <mergeCell ref="X292:AA292"/>
    <mergeCell ref="X296:Y296"/>
    <mergeCell ref="S316:V316"/>
    <mergeCell ref="K307:L307"/>
    <mergeCell ref="N307:O307"/>
    <mergeCell ref="S312:V312"/>
    <mergeCell ref="D315:G315"/>
    <mergeCell ref="K320:L320"/>
    <mergeCell ref="N318:Q318"/>
    <mergeCell ref="I318:L318"/>
    <mergeCell ref="D422:G422"/>
    <mergeCell ref="S426:V431"/>
    <mergeCell ref="S432:V432"/>
    <mergeCell ref="S433:V433"/>
    <mergeCell ref="D335:G335"/>
    <mergeCell ref="S434:T434"/>
    <mergeCell ref="U434:V434"/>
    <mergeCell ref="X426:AA431"/>
    <mergeCell ref="S388:V388"/>
    <mergeCell ref="N410:Q410"/>
    <mergeCell ref="D386:G386"/>
    <mergeCell ref="Z296:AA296"/>
    <mergeCell ref="I291:L291"/>
    <mergeCell ref="N331:Q331"/>
    <mergeCell ref="X295:AA295"/>
    <mergeCell ref="X291:AA291"/>
    <mergeCell ref="X294:AA294"/>
    <mergeCell ref="D385:G385"/>
    <mergeCell ref="D383:G383"/>
    <mergeCell ref="N383:Q383"/>
    <mergeCell ref="S325:V325"/>
    <mergeCell ref="K332:L332"/>
    <mergeCell ref="S332:T332"/>
    <mergeCell ref="X332:Y332"/>
    <mergeCell ref="N365:Q365"/>
    <mergeCell ref="S315:V315"/>
    <mergeCell ref="S313:V313"/>
    <mergeCell ref="D336:G336"/>
    <mergeCell ref="I336:L336"/>
    <mergeCell ref="D338:G338"/>
    <mergeCell ref="P307:Q307"/>
    <mergeCell ref="I340:L340"/>
    <mergeCell ref="D341:G341"/>
    <mergeCell ref="I341:L341"/>
    <mergeCell ref="X413:AA413"/>
    <mergeCell ref="N413:Q413"/>
    <mergeCell ref="I331:L331"/>
    <mergeCell ref="D353:G353"/>
    <mergeCell ref="N353:Q353"/>
    <mergeCell ref="F424:G424"/>
    <mergeCell ref="D434:E434"/>
    <mergeCell ref="F434:G434"/>
    <mergeCell ref="D433:G433"/>
    <mergeCell ref="N433:Q433"/>
    <mergeCell ref="P424:Q424"/>
    <mergeCell ref="I432:L432"/>
    <mergeCell ref="N432:Q432"/>
    <mergeCell ref="X422:AA422"/>
    <mergeCell ref="D432:G432"/>
    <mergeCell ref="D426:G431"/>
    <mergeCell ref="I423:L423"/>
    <mergeCell ref="X424:Y424"/>
    <mergeCell ref="Z424:AA424"/>
    <mergeCell ref="I424:J424"/>
    <mergeCell ref="K424:L424"/>
    <mergeCell ref="N424:O424"/>
    <mergeCell ref="I419:L419"/>
    <mergeCell ref="N352:Q352"/>
    <mergeCell ref="N411:Q411"/>
    <mergeCell ref="N406:Q406"/>
    <mergeCell ref="S409:V409"/>
    <mergeCell ref="S411:V411"/>
    <mergeCell ref="X409:AA409"/>
    <mergeCell ref="S424:T424"/>
    <mergeCell ref="D261:G261"/>
    <mergeCell ref="S252:T252"/>
    <mergeCell ref="N283:Q283"/>
    <mergeCell ref="N317:Q317"/>
    <mergeCell ref="S317:V317"/>
    <mergeCell ref="I315:L315"/>
    <mergeCell ref="D362:G362"/>
    <mergeCell ref="I362:L362"/>
    <mergeCell ref="I350:L350"/>
    <mergeCell ref="D406:G411"/>
    <mergeCell ref="S350:V350"/>
    <mergeCell ref="S291:V291"/>
    <mergeCell ref="D313:G313"/>
    <mergeCell ref="I313:L313"/>
    <mergeCell ref="S328:V328"/>
    <mergeCell ref="D283:G283"/>
    <mergeCell ref="S355:T355"/>
    <mergeCell ref="N320:O320"/>
    <mergeCell ref="N293:Q293"/>
    <mergeCell ref="D332:E332"/>
    <mergeCell ref="D376:G376"/>
    <mergeCell ref="I376:L376"/>
    <mergeCell ref="D393:G393"/>
    <mergeCell ref="I394:L394"/>
    <mergeCell ref="I364:L364"/>
    <mergeCell ref="D361:G361"/>
    <mergeCell ref="S382:V382"/>
    <mergeCell ref="K377:L377"/>
    <mergeCell ref="I374:L374"/>
    <mergeCell ref="S284:V284"/>
    <mergeCell ref="N325:Q325"/>
    <mergeCell ref="D320:E320"/>
    <mergeCell ref="X267:AA267"/>
    <mergeCell ref="S271:V271"/>
    <mergeCell ref="D239:G239"/>
    <mergeCell ref="D240:G240"/>
    <mergeCell ref="I269:L269"/>
    <mergeCell ref="N274:O274"/>
    <mergeCell ref="D255:G255"/>
    <mergeCell ref="S255:V255"/>
    <mergeCell ref="D270:G270"/>
    <mergeCell ref="S250:V250"/>
    <mergeCell ref="S251:V251"/>
    <mergeCell ref="S263:T263"/>
    <mergeCell ref="N261:Q261"/>
    <mergeCell ref="S256:V256"/>
    <mergeCell ref="S266:V266"/>
    <mergeCell ref="X262:AA262"/>
    <mergeCell ref="N257:Q257"/>
    <mergeCell ref="S246:V246"/>
    <mergeCell ref="Z252:AA252"/>
    <mergeCell ref="I250:L250"/>
    <mergeCell ref="I249:L249"/>
    <mergeCell ref="I248:L248"/>
    <mergeCell ref="S257:V257"/>
    <mergeCell ref="N256:Q256"/>
    <mergeCell ref="I262:L262"/>
    <mergeCell ref="N260:Q260"/>
    <mergeCell ref="S260:V260"/>
    <mergeCell ref="D244:G244"/>
    <mergeCell ref="D251:G251"/>
    <mergeCell ref="X271:AA271"/>
    <mergeCell ref="D256:G256"/>
    <mergeCell ref="D262:G262"/>
    <mergeCell ref="K274:L274"/>
    <mergeCell ref="N241:O241"/>
    <mergeCell ref="U241:V241"/>
    <mergeCell ref="S229:V229"/>
    <mergeCell ref="S230:T230"/>
    <mergeCell ref="N266:Q266"/>
    <mergeCell ref="P252:Q252"/>
    <mergeCell ref="I230:J230"/>
    <mergeCell ref="Z263:AA263"/>
    <mergeCell ref="D259:G259"/>
    <mergeCell ref="D249:G249"/>
    <mergeCell ref="D226:G226"/>
    <mergeCell ref="X230:Y230"/>
    <mergeCell ref="S228:V228"/>
    <mergeCell ref="X266:AA266"/>
    <mergeCell ref="X261:AA261"/>
    <mergeCell ref="K241:L241"/>
    <mergeCell ref="K230:L230"/>
    <mergeCell ref="I251:L251"/>
    <mergeCell ref="X251:AA251"/>
    <mergeCell ref="N248:Q248"/>
    <mergeCell ref="N250:Q250"/>
    <mergeCell ref="I244:L244"/>
    <mergeCell ref="N234:Q234"/>
    <mergeCell ref="N233:Q233"/>
    <mergeCell ref="X250:AA250"/>
    <mergeCell ref="X249:AA249"/>
    <mergeCell ref="X255:AA255"/>
    <mergeCell ref="X248:AA248"/>
    <mergeCell ref="N249:Q249"/>
    <mergeCell ref="X256:AA256"/>
    <mergeCell ref="N263:O263"/>
    <mergeCell ref="I246:L246"/>
    <mergeCell ref="N246:Q246"/>
    <mergeCell ref="X240:AA240"/>
    <mergeCell ref="Z241:AA241"/>
    <mergeCell ref="S239:V239"/>
    <mergeCell ref="N240:Q240"/>
    <mergeCell ref="I236:L236"/>
    <mergeCell ref="I233:L233"/>
    <mergeCell ref="N205:Q205"/>
    <mergeCell ref="X206:AA206"/>
    <mergeCell ref="S199:V199"/>
    <mergeCell ref="S226:V226"/>
    <mergeCell ref="P230:Q230"/>
    <mergeCell ref="X229:AA229"/>
    <mergeCell ref="D245:G245"/>
    <mergeCell ref="D198:G198"/>
    <mergeCell ref="D222:G222"/>
    <mergeCell ref="I239:L239"/>
    <mergeCell ref="N237:Q237"/>
    <mergeCell ref="I223:L223"/>
    <mergeCell ref="X227:AA227"/>
    <mergeCell ref="I227:L227"/>
    <mergeCell ref="D228:G228"/>
    <mergeCell ref="N222:Q222"/>
    <mergeCell ref="S225:V225"/>
    <mergeCell ref="X226:AA226"/>
    <mergeCell ref="D238:G238"/>
    <mergeCell ref="X246:AA246"/>
    <mergeCell ref="S245:V245"/>
    <mergeCell ref="Z230:AA230"/>
    <mergeCell ref="S223:V223"/>
    <mergeCell ref="D236:G236"/>
    <mergeCell ref="I190:L190"/>
    <mergeCell ref="P172:Q172"/>
    <mergeCell ref="D186:AA186"/>
    <mergeCell ref="D131:G136"/>
    <mergeCell ref="S193:V193"/>
    <mergeCell ref="X88:AA88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192:AA192"/>
    <mergeCell ref="S187:V187"/>
    <mergeCell ref="I191:L19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I57:L57"/>
    <mergeCell ref="S62:V62"/>
    <mergeCell ref="I68:L68"/>
    <mergeCell ref="S52:T52"/>
    <mergeCell ref="S61:V61"/>
    <mergeCell ref="N58:Q58"/>
    <mergeCell ref="N60:Q60"/>
    <mergeCell ref="X58:AA58"/>
    <mergeCell ref="D42:E42"/>
    <mergeCell ref="S42:T42"/>
    <mergeCell ref="U42:V42"/>
    <mergeCell ref="N70:Q70"/>
    <mergeCell ref="S98:V98"/>
    <mergeCell ref="X98:AA98"/>
    <mergeCell ref="D118:E118"/>
    <mergeCell ref="X104:Y104"/>
    <mergeCell ref="D109:G109"/>
    <mergeCell ref="I109:L109"/>
    <mergeCell ref="I121:L121"/>
    <mergeCell ref="D104:E104"/>
    <mergeCell ref="I63:L63"/>
    <mergeCell ref="N62:Q62"/>
    <mergeCell ref="N68:Q68"/>
    <mergeCell ref="N93:Q93"/>
    <mergeCell ref="S81:V81"/>
    <mergeCell ref="I83:L83"/>
    <mergeCell ref="Z94:AA94"/>
    <mergeCell ref="S99:V99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S64:T64"/>
    <mergeCell ref="K94:L94"/>
    <mergeCell ref="S50:V50"/>
    <mergeCell ref="X28:AA28"/>
    <mergeCell ref="N42:O42"/>
    <mergeCell ref="P42:Q42"/>
    <mergeCell ref="N45:Q49"/>
    <mergeCell ref="X41:AA41"/>
    <mergeCell ref="X26:AA26"/>
    <mergeCell ref="X25:AA25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2:K22"/>
    <mergeCell ref="I23:K23"/>
    <mergeCell ref="I24:K24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D168:G168"/>
    <mergeCell ref="I187:L187"/>
    <mergeCell ref="N190:Q190"/>
    <mergeCell ref="S182:T182"/>
    <mergeCell ref="D190:G190"/>
    <mergeCell ref="X113:AA113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F162:G162"/>
    <mergeCell ref="K162:L162"/>
    <mergeCell ref="D113:G113"/>
    <mergeCell ref="D165:G165"/>
    <mergeCell ref="I161:L161"/>
    <mergeCell ref="F140:G140"/>
    <mergeCell ref="F129:G129"/>
    <mergeCell ref="I128:L128"/>
    <mergeCell ref="D170:G170"/>
    <mergeCell ref="D114:G114"/>
    <mergeCell ref="N117:Q117"/>
    <mergeCell ref="I116:L116"/>
    <mergeCell ref="N160:Q160"/>
    <mergeCell ref="S156:V156"/>
    <mergeCell ref="S143:V143"/>
    <mergeCell ref="S128:V128"/>
    <mergeCell ref="D140:E140"/>
    <mergeCell ref="D122:G122"/>
    <mergeCell ref="F118:G118"/>
    <mergeCell ref="S129:T129"/>
    <mergeCell ref="D138:G138"/>
    <mergeCell ref="I137:L137"/>
    <mergeCell ref="N114:Q114"/>
    <mergeCell ref="D128:G128"/>
    <mergeCell ref="D129:E129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N161:Q161"/>
    <mergeCell ref="I165:L165"/>
    <mergeCell ref="D155:G155"/>
    <mergeCell ref="D159:G159"/>
    <mergeCell ref="D160:G160"/>
    <mergeCell ref="F151:G151"/>
    <mergeCell ref="S117:V117"/>
    <mergeCell ref="S118:T118"/>
    <mergeCell ref="N128:Q128"/>
    <mergeCell ref="I120:L120"/>
    <mergeCell ref="X142:AA142"/>
    <mergeCell ref="S160:V160"/>
    <mergeCell ref="I151:J151"/>
    <mergeCell ref="I155:L155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D150:G150"/>
    <mergeCell ref="X93:AA93"/>
    <mergeCell ref="I82:L82"/>
    <mergeCell ref="X82:AA82"/>
    <mergeCell ref="S159:V159"/>
    <mergeCell ref="S155:V155"/>
    <mergeCell ref="I156:L156"/>
    <mergeCell ref="N137:Q137"/>
    <mergeCell ref="N156:Q156"/>
    <mergeCell ref="N159:Q159"/>
    <mergeCell ref="S138:V138"/>
    <mergeCell ref="I158:L158"/>
    <mergeCell ref="K118:L118"/>
    <mergeCell ref="I150:L150"/>
    <mergeCell ref="S104:T104"/>
    <mergeCell ref="U140:V140"/>
    <mergeCell ref="S94:T94"/>
    <mergeCell ref="X120:AA120"/>
    <mergeCell ref="X128:AA128"/>
    <mergeCell ref="X143:AA143"/>
    <mergeCell ref="N104:O104"/>
    <mergeCell ref="X103:AA103"/>
    <mergeCell ref="X114:AA114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I159:L159"/>
    <mergeCell ref="N110:Q110"/>
    <mergeCell ref="S83:V83"/>
    <mergeCell ref="S97:V97"/>
    <mergeCell ref="S101:V101"/>
    <mergeCell ref="N162:O162"/>
    <mergeCell ref="X116:AA116"/>
    <mergeCell ref="P118:Q118"/>
    <mergeCell ref="Z182:AA182"/>
    <mergeCell ref="N126:Q126"/>
    <mergeCell ref="P129:Q129"/>
    <mergeCell ref="S137:V137"/>
    <mergeCell ref="X149:AA149"/>
    <mergeCell ref="Z151:AA151"/>
    <mergeCell ref="X139:AA139"/>
    <mergeCell ref="Z140:AA140"/>
    <mergeCell ref="S139:V139"/>
    <mergeCell ref="N150:Q150"/>
    <mergeCell ref="I149:L149"/>
    <mergeCell ref="I162:J162"/>
    <mergeCell ref="X160:AA160"/>
    <mergeCell ref="I168:L168"/>
    <mergeCell ref="S116:V116"/>
    <mergeCell ref="S126:V126"/>
    <mergeCell ref="X131:AA136"/>
    <mergeCell ref="I170:L170"/>
    <mergeCell ref="N168:Q168"/>
    <mergeCell ref="I182:J182"/>
    <mergeCell ref="X172:Y172"/>
    <mergeCell ref="I178:L178"/>
    <mergeCell ref="X181:AA181"/>
    <mergeCell ref="X182:Y182"/>
    <mergeCell ref="S127:V127"/>
    <mergeCell ref="U129:V129"/>
    <mergeCell ref="U182:V182"/>
    <mergeCell ref="N195:Q195"/>
    <mergeCell ref="S146:V146"/>
    <mergeCell ref="N142:Q147"/>
    <mergeCell ref="X176:AA176"/>
    <mergeCell ref="X175:AA175"/>
    <mergeCell ref="P140:Q140"/>
    <mergeCell ref="I148:L148"/>
    <mergeCell ref="I171:L171"/>
    <mergeCell ref="X148:AA148"/>
    <mergeCell ref="I142:L147"/>
    <mergeCell ref="N165:Q165"/>
    <mergeCell ref="U162:V162"/>
    <mergeCell ref="X162:Y162"/>
    <mergeCell ref="Z162:AA162"/>
    <mergeCell ref="N188:Q188"/>
    <mergeCell ref="X150:AA150"/>
    <mergeCell ref="X159:AA159"/>
    <mergeCell ref="S175:V175"/>
    <mergeCell ref="X188:AA188"/>
    <mergeCell ref="X161:AA161"/>
    <mergeCell ref="X165:AA170"/>
    <mergeCell ref="P151:Q151"/>
    <mergeCell ref="S162:T162"/>
    <mergeCell ref="N178:Q178"/>
    <mergeCell ref="N179:Q179"/>
    <mergeCell ref="N180:Q180"/>
    <mergeCell ref="N181:Q181"/>
    <mergeCell ref="N182:O182"/>
    <mergeCell ref="P182:Q182"/>
    <mergeCell ref="S188:V188"/>
    <mergeCell ref="S170:V170"/>
    <mergeCell ref="N192:Q192"/>
    <mergeCell ref="X190:AA190"/>
    <mergeCell ref="X123:AA123"/>
    <mergeCell ref="X244:AA244"/>
    <mergeCell ref="N236:Q236"/>
    <mergeCell ref="I237:L237"/>
    <mergeCell ref="X222:AA222"/>
    <mergeCell ref="N214:Q214"/>
    <mergeCell ref="N215:Q215"/>
    <mergeCell ref="K207:L207"/>
    <mergeCell ref="D181:G181"/>
    <mergeCell ref="I198:L198"/>
    <mergeCell ref="X191:AA191"/>
    <mergeCell ref="I204:L204"/>
    <mergeCell ref="S206:V206"/>
    <mergeCell ref="D194:G194"/>
    <mergeCell ref="D193:G193"/>
    <mergeCell ref="K172:L172"/>
    <mergeCell ref="D213:G213"/>
    <mergeCell ref="D214:G214"/>
    <mergeCell ref="D215:G215"/>
    <mergeCell ref="D216:G216"/>
    <mergeCell ref="D217:G217"/>
    <mergeCell ref="D218:E218"/>
    <mergeCell ref="F218:G218"/>
    <mergeCell ref="I192:L192"/>
    <mergeCell ref="D229:G229"/>
    <mergeCell ref="I188:L188"/>
    <mergeCell ref="X195:AA195"/>
    <mergeCell ref="X196:Y196"/>
    <mergeCell ref="S192:V192"/>
    <mergeCell ref="N187:Q187"/>
    <mergeCell ref="P196:Q196"/>
    <mergeCell ref="D211:G211"/>
    <mergeCell ref="I194:L194"/>
    <mergeCell ref="N229:Q229"/>
    <mergeCell ref="N230:O230"/>
    <mergeCell ref="P218:Q218"/>
    <mergeCell ref="I209:L209"/>
    <mergeCell ref="N202:Q202"/>
    <mergeCell ref="X241:Y241"/>
    <mergeCell ref="N211:Q211"/>
    <mergeCell ref="N213:Q213"/>
    <mergeCell ref="X204:AA204"/>
    <mergeCell ref="X207:Y207"/>
    <mergeCell ref="X193:AA193"/>
    <mergeCell ref="K140:L140"/>
    <mergeCell ref="S171:V171"/>
    <mergeCell ref="N171:Q171"/>
    <mergeCell ref="S166:V166"/>
    <mergeCell ref="N170:Q170"/>
    <mergeCell ref="X187:AA187"/>
    <mergeCell ref="S195:V195"/>
    <mergeCell ref="I196:J196"/>
    <mergeCell ref="X156:AA156"/>
    <mergeCell ref="Z196:AA196"/>
    <mergeCell ref="N196:O196"/>
    <mergeCell ref="S191:V191"/>
    <mergeCell ref="S194:V194"/>
    <mergeCell ref="N191:Q191"/>
    <mergeCell ref="S227:V227"/>
    <mergeCell ref="S190:V190"/>
    <mergeCell ref="N155:Q155"/>
    <mergeCell ref="N140:O140"/>
    <mergeCell ref="S140:T140"/>
    <mergeCell ref="N347:Q347"/>
    <mergeCell ref="X81:AA81"/>
    <mergeCell ref="S63:V63"/>
    <mergeCell ref="D77:G77"/>
    <mergeCell ref="D81:G81"/>
    <mergeCell ref="D82:G82"/>
    <mergeCell ref="S67:V67"/>
    <mergeCell ref="K64:L64"/>
    <mergeCell ref="I81:L81"/>
    <mergeCell ref="S77:V77"/>
    <mergeCell ref="S78:V78"/>
    <mergeCell ref="N83:Q83"/>
    <mergeCell ref="B244:B253"/>
    <mergeCell ref="N273:Q273"/>
    <mergeCell ref="I274:J274"/>
    <mergeCell ref="S249:V249"/>
    <mergeCell ref="I229:L229"/>
    <mergeCell ref="D227:G227"/>
    <mergeCell ref="S240:V240"/>
    <mergeCell ref="I267:L267"/>
    <mergeCell ref="I205:L205"/>
    <mergeCell ref="U207:V207"/>
    <mergeCell ref="I207:J207"/>
    <mergeCell ref="S205:V205"/>
    <mergeCell ref="P207:Q207"/>
    <mergeCell ref="S207:T207"/>
    <mergeCell ref="N207:O207"/>
    <mergeCell ref="N209:Q209"/>
    <mergeCell ref="N226:Q226"/>
    <mergeCell ref="I222:L222"/>
    <mergeCell ref="F207:G207"/>
    <mergeCell ref="D223:G223"/>
    <mergeCell ref="D330:G330"/>
    <mergeCell ref="D400:G400"/>
    <mergeCell ref="D412:G412"/>
    <mergeCell ref="I417:L417"/>
    <mergeCell ref="S417:V417"/>
    <mergeCell ref="N426:Q431"/>
    <mergeCell ref="S420:V420"/>
    <mergeCell ref="S423:V423"/>
    <mergeCell ref="X263:Y263"/>
    <mergeCell ref="B462:G462"/>
    <mergeCell ref="B461:G461"/>
    <mergeCell ref="B459:G459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X433:AA433"/>
    <mergeCell ref="S347:V347"/>
    <mergeCell ref="S324:V324"/>
    <mergeCell ref="I347:L347"/>
    <mergeCell ref="S331:V331"/>
    <mergeCell ref="F64:G64"/>
    <mergeCell ref="I397:L397"/>
    <mergeCell ref="S398:V398"/>
    <mergeCell ref="I400:L400"/>
    <mergeCell ref="I401:J401"/>
    <mergeCell ref="D416:G421"/>
    <mergeCell ref="N417:Q417"/>
    <mergeCell ref="I416:L416"/>
    <mergeCell ref="I422:L422"/>
    <mergeCell ref="N422:Q422"/>
    <mergeCell ref="I421:L421"/>
    <mergeCell ref="N421:Q421"/>
    <mergeCell ref="N416:Q416"/>
    <mergeCell ref="S416:V416"/>
    <mergeCell ref="S262:V262"/>
    <mergeCell ref="N228:Q228"/>
    <mergeCell ref="I241:J241"/>
    <mergeCell ref="S244:V244"/>
    <mergeCell ref="N244:Q244"/>
    <mergeCell ref="F252:G252"/>
    <mergeCell ref="P274:Q274"/>
    <mergeCell ref="S269:V269"/>
    <mergeCell ref="N267:Q267"/>
    <mergeCell ref="D233:G233"/>
    <mergeCell ref="U274:V274"/>
    <mergeCell ref="S198:V198"/>
    <mergeCell ref="N223:Q223"/>
    <mergeCell ref="I312:L312"/>
    <mergeCell ref="Y460:AB460"/>
    <mergeCell ref="Y454:AB454"/>
    <mergeCell ref="Y455:AB455"/>
    <mergeCell ref="Y461:AB461"/>
    <mergeCell ref="Y462:AB462"/>
    <mergeCell ref="S273:V273"/>
    <mergeCell ref="X283:AA283"/>
    <mergeCell ref="S270:V270"/>
    <mergeCell ref="D317:G317"/>
    <mergeCell ref="X280:AA280"/>
    <mergeCell ref="X281:AA281"/>
    <mergeCell ref="X282:AA282"/>
    <mergeCell ref="X277:AA277"/>
    <mergeCell ref="D288:G288"/>
    <mergeCell ref="I289:L289"/>
    <mergeCell ref="K296:L296"/>
    <mergeCell ref="D328:G328"/>
    <mergeCell ref="N319:Q319"/>
    <mergeCell ref="D340:G340"/>
    <mergeCell ref="I426:L431"/>
    <mergeCell ref="X423:AA423"/>
    <mergeCell ref="D423:G423"/>
    <mergeCell ref="I332:J332"/>
    <mergeCell ref="S365:V365"/>
    <mergeCell ref="N330:Q330"/>
    <mergeCell ref="S330:V330"/>
    <mergeCell ref="N350:Q350"/>
    <mergeCell ref="Z332:AA332"/>
    <mergeCell ref="I413:L413"/>
    <mergeCell ref="N414:O414"/>
    <mergeCell ref="S414:T414"/>
    <mergeCell ref="S277:V277"/>
    <mergeCell ref="I442:L442"/>
    <mergeCell ref="D443:G443"/>
    <mergeCell ref="B456:G456"/>
    <mergeCell ref="N443:Q443"/>
    <mergeCell ref="S443:V443"/>
    <mergeCell ref="N444:O444"/>
    <mergeCell ref="P444:Q444"/>
    <mergeCell ref="S444:T444"/>
    <mergeCell ref="U444:V444"/>
    <mergeCell ref="N423:Q423"/>
    <mergeCell ref="X416:AA421"/>
    <mergeCell ref="N419:Q419"/>
    <mergeCell ref="B255:B264"/>
    <mergeCell ref="D257:G257"/>
    <mergeCell ref="B266:B275"/>
    <mergeCell ref="X258:AA258"/>
    <mergeCell ref="D263:E263"/>
    <mergeCell ref="B324:B333"/>
    <mergeCell ref="X432:AA432"/>
    <mergeCell ref="S274:T274"/>
    <mergeCell ref="D266:G266"/>
    <mergeCell ref="I285:J285"/>
    <mergeCell ref="I282:L282"/>
    <mergeCell ref="I270:L270"/>
    <mergeCell ref="B277:B286"/>
    <mergeCell ref="X412:AA412"/>
    <mergeCell ref="I412:L412"/>
    <mergeCell ref="N412:Q412"/>
    <mergeCell ref="D398:G398"/>
    <mergeCell ref="Z390:AA390"/>
    <mergeCell ref="B358:B378"/>
    <mergeCell ref="D442:G442"/>
    <mergeCell ref="B222:B231"/>
    <mergeCell ref="D342:G342"/>
    <mergeCell ref="S299:V304"/>
    <mergeCell ref="S305:V305"/>
    <mergeCell ref="S306:V306"/>
    <mergeCell ref="S307:T307"/>
    <mergeCell ref="U307:V307"/>
    <mergeCell ref="I299:L304"/>
    <mergeCell ref="N299:Q304"/>
    <mergeCell ref="I305:L305"/>
    <mergeCell ref="N305:Q305"/>
    <mergeCell ref="I306:L306"/>
    <mergeCell ref="N306:Q306"/>
    <mergeCell ref="I307:J307"/>
    <mergeCell ref="B299:B308"/>
    <mergeCell ref="N324:Q324"/>
    <mergeCell ref="U252:V252"/>
    <mergeCell ref="N251:Q251"/>
    <mergeCell ref="D267:G267"/>
    <mergeCell ref="D260:G260"/>
    <mergeCell ref="D246:G246"/>
    <mergeCell ref="D241:E241"/>
    <mergeCell ref="B233:B242"/>
    <mergeCell ref="D252:E252"/>
    <mergeCell ref="D230:E230"/>
    <mergeCell ref="F230:G230"/>
    <mergeCell ref="D234:G234"/>
    <mergeCell ref="S295:V295"/>
    <mergeCell ref="N289:Q289"/>
    <mergeCell ref="S288:V288"/>
    <mergeCell ref="N329:Q329"/>
    <mergeCell ref="D97:G102"/>
    <mergeCell ref="I434:J434"/>
    <mergeCell ref="K434:L434"/>
    <mergeCell ref="N434:O434"/>
    <mergeCell ref="P434:Q434"/>
    <mergeCell ref="X312:AA312"/>
    <mergeCell ref="F196:G196"/>
    <mergeCell ref="D192:G192"/>
    <mergeCell ref="D195:G195"/>
    <mergeCell ref="X245:AA245"/>
    <mergeCell ref="X269:AA269"/>
    <mergeCell ref="E448:P448"/>
    <mergeCell ref="S422:V422"/>
    <mergeCell ref="D370:G370"/>
    <mergeCell ref="I433:L433"/>
    <mergeCell ref="S419:V419"/>
    <mergeCell ref="I420:L420"/>
    <mergeCell ref="N420:Q420"/>
    <mergeCell ref="S421:V421"/>
    <mergeCell ref="I273:L273"/>
    <mergeCell ref="D293:G293"/>
    <mergeCell ref="X274:Y274"/>
    <mergeCell ref="X400:AA400"/>
    <mergeCell ref="S413:V413"/>
    <mergeCell ref="Z414:AA414"/>
    <mergeCell ref="K414:L414"/>
    <mergeCell ref="P414:Q414"/>
    <mergeCell ref="U414:V414"/>
    <mergeCell ref="D413:G413"/>
    <mergeCell ref="I414:J414"/>
    <mergeCell ref="D440:G440"/>
    <mergeCell ref="D441:G441"/>
    <mergeCell ref="N198:Q198"/>
    <mergeCell ref="B288:B297"/>
    <mergeCell ref="N193:Q193"/>
    <mergeCell ref="I225:L225"/>
    <mergeCell ref="X194:AA194"/>
    <mergeCell ref="P241:Q241"/>
    <mergeCell ref="D166:G166"/>
    <mergeCell ref="D206:G206"/>
    <mergeCell ref="I228:L228"/>
    <mergeCell ref="N227:Q227"/>
    <mergeCell ref="P94:Q94"/>
    <mergeCell ref="D139:G139"/>
    <mergeCell ref="I139:L139"/>
    <mergeCell ref="N139:Q139"/>
    <mergeCell ref="N169:Q169"/>
    <mergeCell ref="N204:Q204"/>
    <mergeCell ref="S204:V204"/>
    <mergeCell ref="I203:L203"/>
    <mergeCell ref="N216:Q216"/>
    <mergeCell ref="N217:Q217"/>
    <mergeCell ref="N218:O218"/>
    <mergeCell ref="N158:Q158"/>
    <mergeCell ref="P162:Q162"/>
    <mergeCell ref="N200:Q200"/>
    <mergeCell ref="I169:L169"/>
    <mergeCell ref="X101:AA101"/>
    <mergeCell ref="I172:J172"/>
    <mergeCell ref="X228:AA228"/>
    <mergeCell ref="U151:V151"/>
    <mergeCell ref="Z285:AA285"/>
    <mergeCell ref="S267:V267"/>
    <mergeCell ref="F241:G241"/>
    <mergeCell ref="X137:AA137"/>
    <mergeCell ref="P320:Q320"/>
    <mergeCell ref="X320:Y320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X115:AA115"/>
    <mergeCell ref="I125:L125"/>
    <mergeCell ref="S131:V136"/>
    <mergeCell ref="I166:L166"/>
    <mergeCell ref="S151:T151"/>
    <mergeCell ref="S90:V90"/>
    <mergeCell ref="S114:V114"/>
    <mergeCell ref="S113:V113"/>
    <mergeCell ref="I126:L126"/>
    <mergeCell ref="N116:Q116"/>
    <mergeCell ref="S296:T296"/>
    <mergeCell ref="U296:V296"/>
    <mergeCell ref="I293:L293"/>
    <mergeCell ref="I266:L266"/>
    <mergeCell ref="N272:Q272"/>
    <mergeCell ref="N262:Q262"/>
    <mergeCell ref="I296:J296"/>
    <mergeCell ref="Z274:AA274"/>
    <mergeCell ref="D237:G237"/>
    <mergeCell ref="S169:V169"/>
    <mergeCell ref="S196:T196"/>
    <mergeCell ref="F104:G104"/>
    <mergeCell ref="I104:J104"/>
    <mergeCell ref="I129:J129"/>
    <mergeCell ref="S102:V102"/>
    <mergeCell ref="D116:G116"/>
    <mergeCell ref="I319:L319"/>
    <mergeCell ref="I329:L329"/>
    <mergeCell ref="I217:L217"/>
    <mergeCell ref="X205:AA205"/>
    <mergeCell ref="N127:Q127"/>
    <mergeCell ref="I261:L261"/>
    <mergeCell ref="Z64:AA64"/>
    <mergeCell ref="N64:O64"/>
    <mergeCell ref="P64:Q64"/>
    <mergeCell ref="D108:AA108"/>
    <mergeCell ref="N118:O118"/>
    <mergeCell ref="Z207:AA207"/>
    <mergeCell ref="X259:AA259"/>
    <mergeCell ref="X273:AA273"/>
    <mergeCell ref="N225:Q225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F285:G285"/>
    <mergeCell ref="D225:G225"/>
    <mergeCell ref="N271:Q271"/>
    <mergeCell ref="D250:G250"/>
    <mergeCell ref="X272:AA272"/>
    <mergeCell ref="S272:V272"/>
    <mergeCell ref="X77:AA77"/>
    <mergeCell ref="Y465:AB465"/>
    <mergeCell ref="Y464:AB464"/>
    <mergeCell ref="X324:AA324"/>
    <mergeCell ref="Y469:AB469"/>
    <mergeCell ref="Y466:AB466"/>
    <mergeCell ref="Y467:AB467"/>
    <mergeCell ref="S142:V142"/>
    <mergeCell ref="X147:AA147"/>
    <mergeCell ref="Y456:AB456"/>
    <mergeCell ref="Y457:AB457"/>
    <mergeCell ref="Y458:AB458"/>
    <mergeCell ref="S222:V222"/>
    <mergeCell ref="S241:T241"/>
    <mergeCell ref="U230:V230"/>
    <mergeCell ref="N259:Q259"/>
    <mergeCell ref="X198:AA203"/>
    <mergeCell ref="X225:AA225"/>
    <mergeCell ref="S168:V168"/>
    <mergeCell ref="X278:AA278"/>
    <mergeCell ref="P343:Q343"/>
    <mergeCell ref="N281:Q281"/>
    <mergeCell ref="N277:Q277"/>
    <mergeCell ref="Y468:AB468"/>
    <mergeCell ref="S327:V327"/>
    <mergeCell ref="X327:AA327"/>
    <mergeCell ref="S180:V180"/>
    <mergeCell ref="X434:Y434"/>
    <mergeCell ref="Z434:AA434"/>
    <mergeCell ref="Y463:AB463"/>
    <mergeCell ref="Y459:AB459"/>
    <mergeCell ref="N343:O343"/>
    <mergeCell ref="I342:L342"/>
    <mergeCell ref="D343:E343"/>
    <mergeCell ref="D273:G273"/>
    <mergeCell ref="S165:V165"/>
    <mergeCell ref="D196:E196"/>
    <mergeCell ref="D207:E207"/>
    <mergeCell ref="D202:G202"/>
    <mergeCell ref="S283:V283"/>
    <mergeCell ref="S320:T320"/>
    <mergeCell ref="X285:Y285"/>
    <mergeCell ref="U355:V355"/>
    <mergeCell ref="N348:Q348"/>
    <mergeCell ref="D354:G354"/>
    <mergeCell ref="D339:G339"/>
    <mergeCell ref="I339:L339"/>
    <mergeCell ref="I330:L330"/>
    <mergeCell ref="I354:L354"/>
    <mergeCell ref="S294:V294"/>
    <mergeCell ref="X293:AA293"/>
    <mergeCell ref="X284:AA284"/>
    <mergeCell ref="F320:G320"/>
    <mergeCell ref="D305:G305"/>
    <mergeCell ref="D306:G306"/>
    <mergeCell ref="D307:E307"/>
    <mergeCell ref="F307:G307"/>
    <mergeCell ref="D299:G304"/>
    <mergeCell ref="D281:G281"/>
    <mergeCell ref="D289:G289"/>
    <mergeCell ref="D294:G294"/>
    <mergeCell ref="N316:Q316"/>
    <mergeCell ref="D169:G169"/>
    <mergeCell ref="Z172:AA172"/>
    <mergeCell ref="X171:AA171"/>
    <mergeCell ref="F172:G172"/>
    <mergeCell ref="D191:G191"/>
    <mergeCell ref="I234:L234"/>
    <mergeCell ref="D204:G204"/>
    <mergeCell ref="D205:G205"/>
    <mergeCell ref="S103:V103"/>
    <mergeCell ref="U104:V104"/>
    <mergeCell ref="N90:Q90"/>
    <mergeCell ref="B460:G460"/>
    <mergeCell ref="B458:G458"/>
    <mergeCell ref="B457:G457"/>
    <mergeCell ref="B455:G455"/>
    <mergeCell ref="B454:G454"/>
    <mergeCell ref="I213:L213"/>
    <mergeCell ref="I214:L214"/>
    <mergeCell ref="I215:L215"/>
    <mergeCell ref="I216:L216"/>
    <mergeCell ref="D188:G188"/>
    <mergeCell ref="I193:L193"/>
    <mergeCell ref="D172:E172"/>
    <mergeCell ref="D187:G187"/>
    <mergeCell ref="D171:G171"/>
    <mergeCell ref="S176:V176"/>
    <mergeCell ref="S178:V178"/>
    <mergeCell ref="S179:V179"/>
    <mergeCell ref="N252:O252"/>
    <mergeCell ref="B335:B344"/>
    <mergeCell ref="N341:Q341"/>
    <mergeCell ref="N342:Q342"/>
    <mergeCell ref="I338:L338"/>
    <mergeCell ref="S172:T172"/>
    <mergeCell ref="N194:Q194"/>
    <mergeCell ref="K263:L263"/>
    <mergeCell ref="I263:J263"/>
    <mergeCell ref="P263:Q263"/>
    <mergeCell ref="N270:Q270"/>
    <mergeCell ref="N335:Q340"/>
    <mergeCell ref="I316:L316"/>
    <mergeCell ref="D322:AA322"/>
    <mergeCell ref="I245:L245"/>
    <mergeCell ref="N245:Q245"/>
    <mergeCell ref="D203:G203"/>
    <mergeCell ref="N203:Q203"/>
    <mergeCell ref="N239:Q239"/>
    <mergeCell ref="D199:G199"/>
    <mergeCell ref="D200:G200"/>
    <mergeCell ref="I202:L202"/>
    <mergeCell ref="I206:L206"/>
    <mergeCell ref="D248:G248"/>
    <mergeCell ref="D291:G291"/>
    <mergeCell ref="D316:G316"/>
    <mergeCell ref="I317:L317"/>
    <mergeCell ref="I328:L328"/>
    <mergeCell ref="N313:Q313"/>
    <mergeCell ref="D324:G324"/>
    <mergeCell ref="I320:J320"/>
    <mergeCell ref="N291:Q291"/>
    <mergeCell ref="I272:L272"/>
    <mergeCell ref="D295:G295"/>
    <mergeCell ref="D280:G280"/>
    <mergeCell ref="D284:G284"/>
    <mergeCell ref="N88:Q88"/>
    <mergeCell ref="I92:L92"/>
    <mergeCell ref="D310:AA310"/>
    <mergeCell ref="S92:V92"/>
    <mergeCell ref="I211:L211"/>
    <mergeCell ref="S202:V202"/>
    <mergeCell ref="N288:Q288"/>
    <mergeCell ref="I271:L271"/>
    <mergeCell ref="D269:G269"/>
    <mergeCell ref="D272:G272"/>
    <mergeCell ref="I292:L292"/>
    <mergeCell ref="I280:L280"/>
    <mergeCell ref="N282:Q282"/>
    <mergeCell ref="I295:L295"/>
    <mergeCell ref="P296:Q296"/>
    <mergeCell ref="D277:G277"/>
    <mergeCell ref="D278:G278"/>
    <mergeCell ref="I283:L283"/>
    <mergeCell ref="K285:L285"/>
    <mergeCell ref="N285:O285"/>
    <mergeCell ref="P285:Q285"/>
    <mergeCell ref="D274:E274"/>
    <mergeCell ref="F274:G274"/>
    <mergeCell ref="N284:Q284"/>
    <mergeCell ref="D285:E285"/>
    <mergeCell ref="N278:Q278"/>
    <mergeCell ref="U94:V94"/>
    <mergeCell ref="D220:AA220"/>
    <mergeCell ref="N255:Q255"/>
    <mergeCell ref="N296:O296"/>
    <mergeCell ref="N280:Q280"/>
    <mergeCell ref="N327:Q327"/>
    <mergeCell ref="N328:Q328"/>
    <mergeCell ref="N269:Q269"/>
    <mergeCell ref="S292:V292"/>
    <mergeCell ref="S259:V259"/>
    <mergeCell ref="S261:V261"/>
    <mergeCell ref="I288:L288"/>
    <mergeCell ref="I281:L281"/>
    <mergeCell ref="I176:L176"/>
    <mergeCell ref="S248:V248"/>
    <mergeCell ref="I277:L277"/>
    <mergeCell ref="I278:L278"/>
    <mergeCell ref="I179:L179"/>
    <mergeCell ref="U172:V172"/>
    <mergeCell ref="N199:Q199"/>
    <mergeCell ref="S181:V181"/>
    <mergeCell ref="I195:L195"/>
    <mergeCell ref="I199:L199"/>
    <mergeCell ref="N172:O172"/>
    <mergeCell ref="U196:V196"/>
    <mergeCell ref="K196:L196"/>
    <mergeCell ref="I218:J218"/>
    <mergeCell ref="K218:L218"/>
    <mergeCell ref="I284:L284"/>
    <mergeCell ref="I226:L226"/>
    <mergeCell ref="I200:L200"/>
    <mergeCell ref="N206:Q206"/>
    <mergeCell ref="I238:L238"/>
    <mergeCell ref="N238:Q238"/>
    <mergeCell ref="C449:AA449"/>
    <mergeCell ref="D451:AA451"/>
    <mergeCell ref="C447:AA447"/>
    <mergeCell ref="B347:B355"/>
    <mergeCell ref="D185:AA185"/>
    <mergeCell ref="D153:AA153"/>
    <mergeCell ref="D55:AA55"/>
    <mergeCell ref="D107:AA107"/>
    <mergeCell ref="S93:V93"/>
    <mergeCell ref="I73:L73"/>
    <mergeCell ref="N436:Q436"/>
    <mergeCell ref="S436:V436"/>
    <mergeCell ref="N437:Q437"/>
    <mergeCell ref="S437:V437"/>
    <mergeCell ref="N439:Q439"/>
    <mergeCell ref="S439:V439"/>
    <mergeCell ref="N440:Q440"/>
    <mergeCell ref="S440:V440"/>
    <mergeCell ref="N441:Q441"/>
    <mergeCell ref="S441:V441"/>
    <mergeCell ref="N442:Q442"/>
    <mergeCell ref="S442:V442"/>
    <mergeCell ref="K104:L104"/>
    <mergeCell ref="U424:V424"/>
    <mergeCell ref="I210:L210"/>
    <mergeCell ref="I87:L87"/>
    <mergeCell ref="U84:V84"/>
    <mergeCell ref="N87:Q87"/>
    <mergeCell ref="S84:T84"/>
    <mergeCell ref="N210:Q210"/>
    <mergeCell ref="S88:V88"/>
    <mergeCell ref="I252:J252"/>
    <mergeCell ref="Z1:AA1"/>
    <mergeCell ref="S463:X463"/>
    <mergeCell ref="S464:X464"/>
    <mergeCell ref="S465:X465"/>
    <mergeCell ref="S466:X466"/>
    <mergeCell ref="S467:X467"/>
    <mergeCell ref="S468:X468"/>
    <mergeCell ref="S469:X469"/>
    <mergeCell ref="B453:Q453"/>
    <mergeCell ref="S453:AB453"/>
    <mergeCell ref="W11:AA13"/>
    <mergeCell ref="J11:N15"/>
    <mergeCell ref="D11:H14"/>
    <mergeCell ref="Q11:U15"/>
    <mergeCell ref="H454:Q454"/>
    <mergeCell ref="H455:Q455"/>
    <mergeCell ref="H456:Q456"/>
    <mergeCell ref="H457:Q457"/>
    <mergeCell ref="H458:Q458"/>
    <mergeCell ref="H459:Q459"/>
    <mergeCell ref="H460:Q460"/>
    <mergeCell ref="H461:Q461"/>
    <mergeCell ref="H462:Q462"/>
    <mergeCell ref="S454:X454"/>
    <mergeCell ref="S455:X455"/>
    <mergeCell ref="S456:X456"/>
    <mergeCell ref="S457:X457"/>
    <mergeCell ref="S458:X458"/>
    <mergeCell ref="S459:X459"/>
    <mergeCell ref="S460:X460"/>
    <mergeCell ref="S461:X461"/>
    <mergeCell ref="S462:X462"/>
  </mergeCells>
  <phoneticPr fontId="2" type="noConversion"/>
  <conditionalFormatting sqref="U444:V444 P444:Q444 K444:L444 F444:G444 F434:G434 K434:L434 P434:Q434 U434:V434 Z434:AA434 P424:Q424 K424:L424 F424:G424 F414:G414 K414:L414 P414:Q414 U414:V414 Z414:AA414 Z401:AA401 U401:V401 K401:L401 F401:G401 F390:G390 K390:L390 P390:Q390 U390:V390 Z390:AA390 K377:L377 F377:G377 F366:G366 K366:L366 P366:Q366 U366:V366 Z366:AA366 U355:V355 P355:Q355 K355:L355 F355:G355 F343:G343 K343:L343 P343:Q343 P332:Q332 K332:L332 F332:G332 P320:Q320 K320:L320 F320:G320 F307:G307 K307:L307 P307:Q307 U307:V307 U296:V296 P296:Q296 K296:L296 F296:G296 F285:G285 K285:L285 P285:Q285 U285:V285 P274:Q274 K274:L274 F274:G274 F263:G263 K263:L263 P263:Q263 U252:V252 P252:Q252 K252:L252 F252:G252 F241:G241 K241:L241 P241:Q241 U241:V241 Z241:AA241 Z230:AA230 U230:V230 P230:Q230 K230:L230 F230:G230 F196:G196 K196:L196 P196:Q196 U196:V196 Z196:AA196 Z207:AA207 U207:V207 P207:Q207 K207:L207 F207:G207 F218:G218 K218:L218 P218:Q218 F162:G162 K162:L162 P162:Q162 U162:V162 Z162:AA162 Z172:AA172 U172:V172 P172:Q172 K172:L172 F172:G172 F182:G182 K182:L182 P182:Q182 U182:V182 Z182:AA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">
    <cfRule type="cellIs" dxfId="58" priority="16" operator="notEqual">
      <formula>0</formula>
    </cfRule>
  </conditionalFormatting>
  <conditionalFormatting sqref="H461">
    <cfRule type="expression" dxfId="57" priority="749" stopIfTrue="1">
      <formula>$H$460=$D$473</formula>
    </cfRule>
  </conditionalFormatting>
  <conditionalFormatting sqref="Y454:AB464 Y467:AB468 U444:V444 P444:Q444 K444:L444 F444:G444 F434:G434 K434:L434 P434:Q434 U434:V434 Z434:AA434 P424:Q424 K424:L424 F424:G424 F414:G414 K414:L414 P414:Q414 U414:V414 Z414:AA414 Z401:AA401 K401:L401 F401:G401 F390:G390 K390:L390 P390:Q390 U390:V390 Z390:AA390 K377:L377 F377:G377 F366:G366 K366:L366 P366:Q366 U366:V366 Z366:AA366 U355:V355 P355:Q355 K355:L355 F355:G355 F343:G343 K343:L343 P343:Q343 P332:Q332 K332:L332 F332:G332 F320:G320 K320:L320 P320:Q320 F118:G118 K118:L118 P118:Q118 U118:V118 Z118:AA118 Z129:AA129 U129:V129 P129:Q129 K129:L129 F129:G129 F140:G140 K140:L140 P140:Q140 U140:V140 Z140:AA140 P151:Q151 K151:L151 F151:G151 F162:G162 K162:L162 P162:Q162 U162:V162 Z162:AA162 Z172:AA172 U172:V172 P172:Q172 K172:L172 F172:G172 F182:G182 K182:L182 P182:Q182 U182:V182 Z182:AA182 P274:Q274 F42:G42 K42:L42 P42:Q42 U42:V42 Z42:AA42 Z52:AA52 U52:V52 P52:Q52 K52:L52 F52:G52 F64:G64 K64:L64 P64:Q64 U64:V64 Z64:AA64 Z74:AA74 U74:V74 P74:Q74 K74:L74 F74:G74 F84:G84 K84:L84 P84:Q84 U84:V84 Z84:AA84 Z94:AA94 U94:V94 P94:Q94 K94:L94 F94:G94 F104:G104 K104:L104 Z196:AA196 Z207:AA207 U207:V207 U196:V196 P196:Q196 P207:Q207 K207:L207 K196:L196 F196:G196 F207:G207 F218:G218 K218:L218 P218:Q218 F230:G230 K230:L230 P230:Q230 U230:V230 Z230:AA230 Z241:AA241 U241:V241 P241:Q241 K241:L241 F241:G241 F252:G252 K252:L252 P252:Q252 U252:V252 P263:Q263 K263:L263 F263:G263 F274:G274 K274:L274 U285:V285 P285:Q285 K285:L285 F285:G285 F296:G296 K296:L296 P296:Q296 U296:V296 U307:V307 P307:Q307 K307:L307 F307:G307 N22:O30">
    <cfRule type="cellIs" dxfId="56" priority="8" operator="notEqual">
      <formula>0</formula>
    </cfRule>
  </conditionalFormatting>
  <conditionalFormatting sqref="Y466:AB466">
    <cfRule type="cellIs" dxfId="55" priority="1" operator="notEqual">
      <formula>0</formula>
    </cfRule>
  </conditionalFormatting>
  <dataValidations count="2">
    <dataValidation type="list" allowBlank="1" showInputMessage="1" showErrorMessage="1" sqref="H460:R460">
      <formula1>$D$471:$D$473</formula1>
    </dataValidation>
    <dataValidation type="list" allowBlank="1" showInputMessage="1" showErrorMessage="1" sqref="H462:R462">
      <formula1>$D$475:$D$476</formula1>
    </dataValidation>
  </dataValidations>
  <hyperlinks>
    <hyperlink ref="N423:Q423" r:id="rId1" display="Fabrication &amp; design training at Flexpipe's facility.  Click here for dates available"/>
  </hyperlinks>
  <printOptions horizontalCentered="1" verticalCentered="1"/>
  <pageMargins left="0" right="0" top="0" bottom="0" header="0" footer="0"/>
  <pageSetup scale="51" orientation="portrait" r:id="rId2"/>
  <headerFooter alignWithMargins="0"/>
  <rowBreaks count="5" manualBreakCount="5">
    <brk id="54" min="1" max="26" man="1"/>
    <brk id="152" min="1" max="26" man="1"/>
    <brk id="219" min="1" max="26" man="1"/>
    <brk id="309" min="1" max="26" man="1"/>
    <brk id="403" min="1" max="26" man="1"/>
  </rowBreaks>
  <ignoredErrors>
    <ignoredError sqref="Y466" unlockedFormula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theme="9" tint="-0.249977111117893"/>
  </sheetPr>
  <dimension ref="A1:AD259"/>
  <sheetViews>
    <sheetView workbookViewId="0">
      <selection activeCell="D3" sqref="D3"/>
    </sheetView>
  </sheetViews>
  <sheetFormatPr defaultColWidth="9.28515625" defaultRowHeight="12.75"/>
  <cols>
    <col min="1" max="1" width="1.7109375" style="547" customWidth="1"/>
    <col min="2" max="2" width="10.42578125" style="547" customWidth="1"/>
    <col min="3" max="3" width="16.42578125" style="547" customWidth="1"/>
    <col min="4" max="4" width="25.28515625" style="547" customWidth="1"/>
    <col min="5" max="5" width="23.28515625" style="547" customWidth="1"/>
    <col min="6" max="6" width="15.28515625" style="547" customWidth="1"/>
    <col min="7" max="7" width="14.5703125" style="547" customWidth="1"/>
    <col min="8" max="8" width="9.28515625" style="546" customWidth="1"/>
    <col min="9" max="9" width="16.7109375" style="546" customWidth="1"/>
    <col min="10" max="10" width="19.5703125" style="546" customWidth="1"/>
    <col min="11" max="11" width="11.42578125" style="546" customWidth="1"/>
    <col min="12" max="12" width="22.5703125" style="546" customWidth="1"/>
    <col min="13" max="13" width="12.5703125" style="546" customWidth="1"/>
    <col min="14" max="14" width="10" style="546" customWidth="1"/>
    <col min="15" max="15" width="9.28515625" style="546" customWidth="1"/>
    <col min="16" max="16" width="7.7109375" style="546" customWidth="1"/>
    <col min="17" max="17" width="8.5703125" style="546" customWidth="1"/>
    <col min="18" max="18" width="20.5703125" style="546" customWidth="1"/>
    <col min="19" max="19" width="10.5703125" style="546" customWidth="1"/>
    <col min="20" max="20" width="8.5703125" style="546" customWidth="1"/>
    <col min="21" max="21" width="10" style="546" customWidth="1"/>
    <col min="22" max="22" width="13.42578125" style="546" customWidth="1"/>
    <col min="23" max="23" width="14" style="546" customWidth="1"/>
    <col min="24" max="24" width="6.5703125" style="546" customWidth="1"/>
    <col min="25" max="27" width="12.5703125" style="546" customWidth="1"/>
    <col min="28" max="28" width="71.5703125" style="546" customWidth="1"/>
    <col min="29" max="29" width="50.42578125" style="547" customWidth="1"/>
    <col min="30" max="53" width="9.28515625" style="547" customWidth="1"/>
    <col min="54" max="16384" width="9.28515625" style="547"/>
  </cols>
  <sheetData>
    <row r="1" spans="1:13" ht="13.15" customHeight="1">
      <c r="A1" s="544"/>
      <c r="B1" s="545"/>
      <c r="C1" s="544"/>
      <c r="D1" s="544"/>
      <c r="E1" s="1120" t="s">
        <v>39</v>
      </c>
      <c r="F1" s="1121"/>
      <c r="G1" s="1121"/>
    </row>
    <row r="2" spans="1:13" ht="13.15" customHeight="1">
      <c r="A2" s="544"/>
      <c r="B2" s="545"/>
      <c r="C2" s="544"/>
      <c r="D2" s="544"/>
      <c r="E2" s="1121"/>
      <c r="F2" s="1121"/>
      <c r="G2" s="1121"/>
      <c r="I2" s="548"/>
    </row>
    <row r="3" spans="1:13" ht="23.65" customHeight="1">
      <c r="A3" s="544"/>
      <c r="B3" s="549"/>
      <c r="C3" s="550"/>
      <c r="D3" s="1"/>
      <c r="E3" s="544"/>
      <c r="F3" s="551" t="s">
        <v>40</v>
      </c>
      <c r="G3" s="677"/>
    </row>
    <row r="4" spans="1:13" ht="12.4" customHeight="1">
      <c r="A4" s="544"/>
      <c r="B4" s="3" t="e">
        <f>VLOOKUP(B3,B79:E82,2)</f>
        <v>#N/A</v>
      </c>
      <c r="C4" s="1"/>
      <c r="D4" s="1"/>
      <c r="E4" s="544"/>
      <c r="F4" s="552"/>
      <c r="G4" s="553"/>
    </row>
    <row r="5" spans="1:13" ht="12.4" customHeight="1">
      <c r="A5" s="544"/>
      <c r="B5" s="3" t="e">
        <f>VLOOKUP(B3,B79:E82,3)</f>
        <v>#N/A</v>
      </c>
      <c r="C5" s="1"/>
      <c r="D5" s="550"/>
      <c r="E5" s="544"/>
      <c r="F5" s="554" t="s">
        <v>41</v>
      </c>
      <c r="G5" s="555">
        <f ca="1">TODAY()</f>
        <v>42852</v>
      </c>
    </row>
    <row r="6" spans="1:13" ht="12.4" customHeight="1">
      <c r="A6" s="544"/>
      <c r="B6" s="3" t="e">
        <f>VLOOKUP(B3,B79:E82,4)</f>
        <v>#N/A</v>
      </c>
      <c r="C6" s="1"/>
      <c r="D6" s="1"/>
      <c r="E6" s="544"/>
      <c r="F6" s="554" t="str">
        <f>VLOOKUP(E1,B86:W88,4)</f>
        <v>Valid until:</v>
      </c>
      <c r="G6" s="555">
        <f ca="1">G5+45</f>
        <v>42897</v>
      </c>
      <c r="I6" s="556"/>
    </row>
    <row r="7" spans="1:13" ht="8.65" customHeight="1">
      <c r="A7" s="544"/>
      <c r="B7" s="557"/>
      <c r="C7" s="544"/>
      <c r="D7" s="544"/>
      <c r="E7" s="544"/>
      <c r="F7" s="544"/>
      <c r="G7" s="544"/>
    </row>
    <row r="8" spans="1:13" ht="12.4" customHeight="1">
      <c r="A8" s="544"/>
      <c r="B8" s="558" t="str">
        <f>VLOOKUP(E1,B86:W88,2)</f>
        <v>Customer:</v>
      </c>
      <c r="C8" s="1122">
        <f>'Order form'!H455</f>
        <v>0</v>
      </c>
      <c r="D8" s="1122"/>
      <c r="E8" s="560" t="str">
        <f>VLOOKUP(E1,B86:W88,5)</f>
        <v>Salesperson:</v>
      </c>
      <c r="F8" s="544"/>
      <c r="G8" s="1"/>
      <c r="I8" s="56"/>
      <c r="J8" s="18"/>
      <c r="K8" s="18"/>
      <c r="L8" s="561"/>
      <c r="M8" s="18"/>
    </row>
    <row r="9" spans="1:13" ht="12.4" customHeight="1">
      <c r="A9" s="544"/>
      <c r="B9" s="558" t="str">
        <f>VLOOKUP(E1,B86:W88,3)</f>
        <v>Company:</v>
      </c>
      <c r="C9" s="1123">
        <f>'Order form'!H454</f>
        <v>0</v>
      </c>
      <c r="D9" s="1123"/>
      <c r="E9" s="560" t="str">
        <f>VLOOKUP(E1,B86:W88,6)</f>
        <v>Phone:</v>
      </c>
      <c r="F9" s="544" t="e">
        <f>VLOOKUP(F8,B65:F77,2,FALSE)</f>
        <v>#N/A</v>
      </c>
      <c r="G9" s="562"/>
      <c r="I9" s="56"/>
      <c r="J9" s="18"/>
      <c r="K9" s="18"/>
      <c r="L9" s="561"/>
      <c r="M9" s="18"/>
    </row>
    <row r="10" spans="1:13" ht="12.4" customHeight="1">
      <c r="A10" s="544"/>
      <c r="B10" s="558"/>
      <c r="C10" s="664"/>
      <c r="D10" s="664"/>
      <c r="E10" s="560" t="s">
        <v>636</v>
      </c>
      <c r="F10" s="559" t="e">
        <f>VLOOKUP(F8,B65:F77,3,FALSE)</f>
        <v>#N/A</v>
      </c>
      <c r="G10" s="562"/>
      <c r="I10" s="56"/>
      <c r="J10" s="18"/>
      <c r="K10" s="18"/>
      <c r="L10" s="561"/>
      <c r="M10" s="18"/>
    </row>
    <row r="11" spans="1:13" ht="12.4" customHeight="1">
      <c r="A11" s="544"/>
      <c r="B11" s="563"/>
      <c r="C11" s="558"/>
      <c r="D11" s="558"/>
      <c r="E11" s="560" t="str">
        <f>VLOOKUP(E1,B86:W88,7)</f>
        <v>Mobile:</v>
      </c>
      <c r="F11" s="544" t="e">
        <f>VLOOKUP(F8,B65:F77,4,FALSE)</f>
        <v>#N/A</v>
      </c>
      <c r="G11" s="1"/>
      <c r="I11" s="56"/>
      <c r="J11" s="18"/>
      <c r="K11" s="18"/>
      <c r="L11" s="561"/>
      <c r="M11" s="18"/>
    </row>
    <row r="12" spans="1:13" ht="12.4" customHeight="1">
      <c r="A12" s="544"/>
      <c r="B12" s="564"/>
      <c r="C12" s="558"/>
      <c r="D12" s="558"/>
      <c r="E12" s="560" t="str">
        <f>VLOOKUP(E1,B86:W88,8)</f>
        <v>Email:</v>
      </c>
      <c r="F12" s="544" t="e">
        <f>VLOOKUP(F8,B65:F77,5,FALSE)</f>
        <v>#N/A</v>
      </c>
      <c r="G12" s="565"/>
      <c r="I12" s="56"/>
      <c r="J12" s="18"/>
      <c r="K12" s="18"/>
      <c r="L12" s="561"/>
      <c r="M12" s="18"/>
    </row>
    <row r="13" spans="1:13" ht="12.4" customHeight="1">
      <c r="A13" s="544"/>
      <c r="B13" s="558"/>
      <c r="C13" s="558"/>
      <c r="D13" s="558"/>
      <c r="E13" s="560" t="str">
        <f>VLOOKUP(E1,B86:W88,9)</f>
        <v>Website:</v>
      </c>
      <c r="F13" s="9" t="s">
        <v>49</v>
      </c>
      <c r="G13" s="566"/>
      <c r="I13" s="56"/>
      <c r="J13" s="18"/>
      <c r="K13" s="18"/>
      <c r="L13" s="561"/>
      <c r="M13" s="18"/>
    </row>
    <row r="14" spans="1:13" ht="4.1500000000000004" customHeight="1">
      <c r="A14" s="544"/>
      <c r="B14" s="567"/>
      <c r="C14" s="4"/>
      <c r="D14" s="4"/>
      <c r="E14" s="4"/>
      <c r="F14" s="7"/>
      <c r="G14" s="544"/>
      <c r="I14" s="56"/>
      <c r="J14" s="56"/>
      <c r="K14" s="56"/>
      <c r="L14" s="568"/>
      <c r="M14" s="18"/>
    </row>
    <row r="15" spans="1:13" ht="12.75" customHeight="1">
      <c r="A15" s="544"/>
      <c r="B15" s="1124" t="str">
        <f>VLOOKUP(E1,B86:W88,10)</f>
        <v>FREIGHT DETAILS</v>
      </c>
      <c r="C15" s="1125"/>
      <c r="D15" s="1126"/>
      <c r="E15" s="1127" t="str">
        <f>VLOOKUP(E1,B86:W88,11)</f>
        <v>LEAD TIME</v>
      </c>
      <c r="F15" s="1128"/>
      <c r="G15" s="569" t="str">
        <f>VLOOKUP(E1,B86:W88,12)</f>
        <v>TERMS</v>
      </c>
    </row>
    <row r="16" spans="1:13">
      <c r="A16" s="544"/>
      <c r="B16" s="1115">
        <f>'Order form'!H460</f>
        <v>0</v>
      </c>
      <c r="C16" s="1116"/>
      <c r="D16" s="1117"/>
      <c r="E16" s="1118"/>
      <c r="F16" s="1119"/>
      <c r="G16" s="570"/>
      <c r="I16" s="556"/>
    </row>
    <row r="17" spans="1:30" ht="6" customHeight="1">
      <c r="A17" s="544"/>
      <c r="B17" s="571"/>
      <c r="C17" s="571"/>
      <c r="D17" s="571"/>
      <c r="E17" s="572"/>
      <c r="F17" s="572"/>
      <c r="G17" s="573"/>
      <c r="I17" s="556"/>
    </row>
    <row r="18" spans="1:30">
      <c r="A18" s="544"/>
      <c r="B18" s="602" t="str">
        <f>VLOOKUP(E1,B86:W88,13)</f>
        <v>QUANTITY</v>
      </c>
      <c r="C18" s="603" t="str">
        <f>VLOOKUP(E1,B86:W88,22)</f>
        <v>PART #</v>
      </c>
      <c r="D18" s="1110" t="str">
        <f>VLOOKUP(E1,B86:W88,14)</f>
        <v>DESCRIPTION</v>
      </c>
      <c r="E18" s="1111"/>
      <c r="F18" s="602" t="str">
        <f>VLOOKUP(E1,B86:W88,15)</f>
        <v>UNIT PRICE</v>
      </c>
      <c r="G18" s="602" t="s">
        <v>69</v>
      </c>
    </row>
    <row r="19" spans="1:30" ht="13.9" customHeight="1">
      <c r="A19" s="544"/>
      <c r="B19" s="574"/>
      <c r="C19" s="1112"/>
      <c r="D19" s="1113"/>
      <c r="E19" s="1114"/>
      <c r="F19" s="574"/>
      <c r="G19" s="575"/>
      <c r="K19" s="576"/>
      <c r="L19" s="576"/>
    </row>
    <row r="20" spans="1:30" s="581" customFormat="1" ht="12.75" customHeight="1">
      <c r="A20" s="577"/>
      <c r="B20" s="578">
        <f>IFERROR(INDEX(Resume!$C$3:$F$173,MATCH(ROW($B1),Resume!$O$3:$O$173,0),MATCH(Quotation!B$18,Resume!$C$2:$F$2,0)),"")</f>
        <v>1</v>
      </c>
      <c r="C20" s="10">
        <f>IFERROR(INDEX(Resume!$C$3:$F$173,MATCH(ROW($B1),Resume!$O$3:$O$173,0),MATCH(Quotation!C$18,Resume!$C$2:$F$2,0)),"")</f>
        <v>0</v>
      </c>
      <c r="D20" s="1108" t="str">
        <f>IFERROR(INDEX(Resume!$C$3:$F$173,MATCH(ROW($B1),Resume!$O$3:$O$173,0),MATCH(Quotation!D$18,Resume!$C$2:$F$2,0)),"")</f>
        <v>PREPARATION CHARGE:</v>
      </c>
      <c r="E20" s="1109"/>
      <c r="F20" s="579">
        <f>IFERROR(INDEX(Resume!$C$3:$F$173,MATCH(ROW($B1),Resume!$O$3:$O$173,0),MATCH(Quotation!F$18,Resume!$C$2:$F$2,0)),"")</f>
        <v>25</v>
      </c>
      <c r="G20" s="575">
        <f t="shared" ref="G20:G55" si="0">IFERROR(F20*B20,"")</f>
        <v>25</v>
      </c>
      <c r="H20" s="580"/>
      <c r="I20" s="546"/>
      <c r="J20" s="546"/>
      <c r="K20" s="576"/>
      <c r="L20" s="576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</row>
    <row r="21" spans="1:30">
      <c r="A21" s="544"/>
      <c r="B21" s="578" t="str">
        <f>IFERROR(INDEX(Resume!$C$3:$F$173,MATCH(ROW($B2),Resume!$O$3:$O$173,0),MATCH(Quotation!B$18,Resume!$C$2:$F$2,0)),"")</f>
        <v/>
      </c>
      <c r="C21" s="10" t="str">
        <f>IFERROR(INDEX(Resume!$C$3:$F$173,MATCH(ROW($B2),Resume!$O$3:$O$173,0),MATCH(Quotation!C$18,Resume!$C$2:$F$2,0)),"")</f>
        <v/>
      </c>
      <c r="D21" s="1108" t="str">
        <f>IFERROR(INDEX(Resume!$C$3:$F$173,MATCH(ROW($B2),Resume!$O$3:$O$173,0),MATCH(Quotation!D$18,Resume!$C$2:$F$2,0)),"")</f>
        <v/>
      </c>
      <c r="E21" s="1109"/>
      <c r="F21" s="579" t="str">
        <f>IFERROR(INDEX(Resume!$C$3:$F$173,MATCH(ROW($B2),Resume!$O$3:$O$173,0),MATCH(Quotation!F$18,Resume!$C$2:$F$2,0)),"")</f>
        <v/>
      </c>
      <c r="G21" s="575" t="str">
        <f t="shared" si="0"/>
        <v/>
      </c>
      <c r="K21" s="576"/>
      <c r="L21" s="576"/>
    </row>
    <row r="22" spans="1:30">
      <c r="A22" s="544"/>
      <c r="B22" s="578" t="str">
        <f>IFERROR(INDEX(Resume!$C$3:$F$173,MATCH(ROW($B3),Resume!$O$3:$O$173,0),MATCH(Quotation!B$18,Resume!$C$2:$F$2,0)),"")</f>
        <v/>
      </c>
      <c r="C22" s="10" t="str">
        <f>IFERROR(INDEX(Resume!$C$3:$F$173,MATCH(ROW($B3),Resume!$O$3:$O$173,0),MATCH(Quotation!C$18,Resume!$C$2:$F$2,0)),"")</f>
        <v/>
      </c>
      <c r="D22" s="1108" t="str">
        <f>IFERROR(INDEX(Resume!$C$3:$F$173,MATCH(ROW($B3),Resume!$O$3:$O$173,0),MATCH(Quotation!D$18,Resume!$C$2:$F$2,0)),"")</f>
        <v/>
      </c>
      <c r="E22" s="1109"/>
      <c r="F22" s="579" t="str">
        <f>IFERROR(INDEX(Resume!$C$3:$F$173,MATCH(ROW($B3),Resume!$O$3:$O$173,0),MATCH(Quotation!F$18,Resume!$C$2:$F$2,0)),"")</f>
        <v/>
      </c>
      <c r="G22" s="575" t="str">
        <f t="shared" si="0"/>
        <v/>
      </c>
      <c r="I22" s="556"/>
    </row>
    <row r="23" spans="1:30">
      <c r="A23" s="544"/>
      <c r="B23" s="578" t="str">
        <f>IFERROR(INDEX(Resume!$C$3:$F$173,MATCH(ROW($B4),Resume!$O$3:$O$173,0),MATCH(Quotation!B$18,Resume!$C$2:$F$2,0)),"")</f>
        <v/>
      </c>
      <c r="C23" s="10" t="str">
        <f>IFERROR(INDEX(Resume!$C$3:$F$173,MATCH(ROW($B4),Resume!$O$3:$O$173,0),MATCH(Quotation!C$18,Resume!$C$2:$F$2,0)),"")</f>
        <v/>
      </c>
      <c r="D23" s="1108" t="str">
        <f>IFERROR(INDEX(Resume!$C$3:$F$173,MATCH(ROW($B4),Resume!$O$3:$O$173,0),MATCH(Quotation!D$18,Resume!$C$2:$F$2,0)),"")</f>
        <v/>
      </c>
      <c r="E23" s="1109"/>
      <c r="F23" s="579" t="str">
        <f>IFERROR(INDEX(Resume!$C$3:$F$173,MATCH(ROW($B4),Resume!$O$3:$O$173,0),MATCH(Quotation!F$18,Resume!$C$2:$F$2,0)),"")</f>
        <v/>
      </c>
      <c r="G23" s="575" t="str">
        <f t="shared" si="0"/>
        <v/>
      </c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6"/>
      <c r="AD23" s="582"/>
    </row>
    <row r="24" spans="1:30">
      <c r="A24" s="544"/>
      <c r="B24" s="578" t="str">
        <f>IFERROR(INDEX(Resume!$C$3:$F$173,MATCH(ROW($B5),Resume!$O$3:$O$173,0),MATCH(Quotation!B$18,Resume!$C$2:$F$2,0)),"")</f>
        <v/>
      </c>
      <c r="C24" s="10" t="str">
        <f>IFERROR(INDEX(Resume!$C$3:$F$173,MATCH(ROW($B5),Resume!$O$3:$O$173,0),MATCH(Quotation!C$18,Resume!$C$2:$F$2,0)),"")</f>
        <v/>
      </c>
      <c r="D24" s="1108" t="str">
        <f>IFERROR(INDEX(Resume!$C$3:$F$173,MATCH(ROW($B5),Resume!$O$3:$O$173,0),MATCH(Quotation!D$18,Resume!$C$2:$F$2,0)),"")</f>
        <v/>
      </c>
      <c r="E24" s="1109"/>
      <c r="F24" s="579" t="str">
        <f>IFERROR(INDEX(Resume!$C$3:$F$173,MATCH(ROW($B5),Resume!$O$3:$O$173,0),MATCH(Quotation!F$18,Resume!$C$2:$F$2,0)),"")</f>
        <v/>
      </c>
      <c r="G24" s="575" t="str">
        <f t="shared" si="0"/>
        <v/>
      </c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  <c r="AB24" s="576"/>
    </row>
    <row r="25" spans="1:30">
      <c r="A25" s="544"/>
      <c r="B25" s="578" t="str">
        <f>IFERROR(INDEX(Resume!$C$3:$F$173,MATCH(ROW($B6),Resume!$O$3:$O$173,0),MATCH(Quotation!B$18,Resume!$C$2:$F$2,0)),"")</f>
        <v/>
      </c>
      <c r="C25" s="10" t="str">
        <f>IFERROR(INDEX(Resume!$C$3:$F$173,MATCH(ROW($B6),Resume!$O$3:$O$173,0),MATCH(Quotation!C$18,Resume!$C$2:$F$2,0)),"")</f>
        <v/>
      </c>
      <c r="D25" s="1108" t="str">
        <f>IFERROR(INDEX(Resume!$C$3:$F$173,MATCH(ROW($B6),Resume!$O$3:$O$173,0),MATCH(Quotation!D$18,Resume!$C$2:$F$2,0)),"")</f>
        <v/>
      </c>
      <c r="E25" s="1109"/>
      <c r="F25" s="579" t="str">
        <f>IFERROR(INDEX(Resume!$C$3:$F$173,MATCH(ROW($B6),Resume!$O$3:$O$173,0),MATCH(Quotation!F$18,Resume!$C$2:$F$2,0)),"")</f>
        <v/>
      </c>
      <c r="G25" s="575" t="str">
        <f t="shared" si="0"/>
        <v/>
      </c>
    </row>
    <row r="26" spans="1:30">
      <c r="A26" s="544"/>
      <c r="B26" s="578" t="str">
        <f>IFERROR(INDEX(Resume!$C$3:$F$173,MATCH(ROW($B7),Resume!$O$3:$O$173,0),MATCH(Quotation!B$18,Resume!$C$2:$F$2,0)),"")</f>
        <v/>
      </c>
      <c r="C26" s="10" t="str">
        <f>IFERROR(INDEX(Resume!$C$3:$F$173,MATCH(ROW($B7),Resume!$O$3:$O$173,0),MATCH(Quotation!C$18,Resume!$C$2:$F$2,0)),"")</f>
        <v/>
      </c>
      <c r="D26" s="1108" t="str">
        <f>IFERROR(INDEX(Resume!$C$3:$F$173,MATCH(ROW($B7),Resume!$O$3:$O$173,0),MATCH(Quotation!D$18,Resume!$C$2:$F$2,0)),"")</f>
        <v/>
      </c>
      <c r="E26" s="1109"/>
      <c r="F26" s="579" t="str">
        <f>IFERROR(INDEX(Resume!$C$3:$F$173,MATCH(ROW($B7),Resume!$O$3:$O$173,0),MATCH(Quotation!F$18,Resume!$C$2:$F$2,0)),"")</f>
        <v/>
      </c>
      <c r="G26" s="575" t="str">
        <f t="shared" si="0"/>
        <v/>
      </c>
      <c r="I26" s="556"/>
    </row>
    <row r="27" spans="1:30" s="581" customFormat="1" ht="12.75" customHeight="1">
      <c r="A27" s="577"/>
      <c r="B27" s="578" t="str">
        <f>IFERROR(INDEX(Resume!$C$3:$F$173,MATCH(ROW($B8),Resume!$O$3:$O$173,0),MATCH(Quotation!B$18,Resume!$C$2:$F$2,0)),"")</f>
        <v/>
      </c>
      <c r="C27" s="10" t="str">
        <f>IFERROR(INDEX(Resume!$C$3:$F$173,MATCH(ROW($B8),Resume!$O$3:$O$173,0),MATCH(Quotation!C$18,Resume!$C$2:$F$2,0)),"")</f>
        <v/>
      </c>
      <c r="D27" s="1108" t="str">
        <f>IFERROR(INDEX(Resume!$C$3:$F$173,MATCH(ROW($B8),Resume!$O$3:$O$173,0),MATCH(Quotation!D$18,Resume!$C$2:$F$2,0)),"")</f>
        <v/>
      </c>
      <c r="E27" s="1109"/>
      <c r="F27" s="579" t="str">
        <f>IFERROR(INDEX(Resume!$C$3:$F$173,MATCH(ROW($B8),Resume!$O$3:$O$173,0),MATCH(Quotation!F$18,Resume!$C$2:$F$2,0)),"")</f>
        <v/>
      </c>
      <c r="G27" s="575" t="str">
        <f t="shared" si="0"/>
        <v/>
      </c>
      <c r="H27" s="580"/>
      <c r="I27" s="546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</row>
    <row r="28" spans="1:30">
      <c r="A28" s="544"/>
      <c r="B28" s="578" t="str">
        <f>IFERROR(INDEX(Resume!$C$3:$F$173,MATCH(ROW($B9),Resume!$O$3:$O$173,0),MATCH(Quotation!B$18,Resume!$C$2:$F$2,0)),"")</f>
        <v/>
      </c>
      <c r="C28" s="10" t="str">
        <f>IFERROR(INDEX(Resume!$C$3:$F$173,MATCH(ROW($B9),Resume!$O$3:$O$173,0),MATCH(Quotation!C$18,Resume!$C$2:$F$2,0)),"")</f>
        <v/>
      </c>
      <c r="D28" s="1108" t="str">
        <f>IFERROR(INDEX(Resume!$C$3:$F$173,MATCH(ROW($B9),Resume!$O$3:$O$173,0),MATCH(Quotation!D$18,Resume!$C$2:$F$2,0)),"")</f>
        <v/>
      </c>
      <c r="E28" s="1109"/>
      <c r="F28" s="579" t="str">
        <f>IFERROR(INDEX(Resume!$C$3:$F$173,MATCH(ROW($B9),Resume!$O$3:$O$173,0),MATCH(Quotation!F$18,Resume!$C$2:$F$2,0)),"")</f>
        <v/>
      </c>
      <c r="G28" s="575" t="str">
        <f t="shared" si="0"/>
        <v/>
      </c>
    </row>
    <row r="29" spans="1:30">
      <c r="A29" s="544"/>
      <c r="B29" s="578" t="str">
        <f>IFERROR(INDEX(Resume!$C$3:$F$173,MATCH(ROW($B10),Resume!$O$3:$O$173,0),MATCH(Quotation!B$18,Resume!$C$2:$F$2,0)),"")</f>
        <v/>
      </c>
      <c r="C29" s="10" t="str">
        <f>IFERROR(INDEX(Resume!$C$3:$F$173,MATCH(ROW($B10),Resume!$O$3:$O$173,0),MATCH(Quotation!C$18,Resume!$C$2:$F$2,0)),"")</f>
        <v/>
      </c>
      <c r="D29" s="1108" t="str">
        <f>IFERROR(INDEX(Resume!$C$3:$F$173,MATCH(ROW($B10),Resume!$O$3:$O$173,0),MATCH(Quotation!D$18,Resume!$C$2:$F$2,0)),"")</f>
        <v/>
      </c>
      <c r="E29" s="1109"/>
      <c r="F29" s="579" t="str">
        <f>IFERROR(INDEX(Resume!$C$3:$F$173,MATCH(ROW($B10),Resume!$O$3:$O$173,0),MATCH(Quotation!F$18,Resume!$C$2:$F$2,0)),"")</f>
        <v/>
      </c>
      <c r="G29" s="575" t="str">
        <f t="shared" si="0"/>
        <v/>
      </c>
    </row>
    <row r="30" spans="1:30">
      <c r="A30" s="544"/>
      <c r="B30" s="578" t="str">
        <f>IFERROR(INDEX(Resume!$C$3:$F$173,MATCH(ROW($B11),Resume!$O$3:$O$173,0),MATCH(Quotation!B$18,Resume!$C$2:$F$2,0)),"")</f>
        <v/>
      </c>
      <c r="C30" s="10" t="str">
        <f>IFERROR(INDEX(Resume!$C$3:$F$173,MATCH(ROW($B11),Resume!$O$3:$O$173,0),MATCH(Quotation!C$18,Resume!$C$2:$F$2,0)),"")</f>
        <v/>
      </c>
      <c r="D30" s="1108" t="str">
        <f>IFERROR(INDEX(Resume!$C$3:$F$173,MATCH(ROW($B11),Resume!$O$3:$O$173,0),MATCH(Quotation!D$18,Resume!$C$2:$F$2,0)),"")</f>
        <v/>
      </c>
      <c r="E30" s="1109"/>
      <c r="F30" s="579" t="str">
        <f>IFERROR(INDEX(Resume!$C$3:$F$173,MATCH(ROW($B11),Resume!$O$3:$O$173,0),MATCH(Quotation!F$18,Resume!$C$2:$F$2,0)),"")</f>
        <v/>
      </c>
      <c r="G30" s="575" t="str">
        <f t="shared" si="0"/>
        <v/>
      </c>
    </row>
    <row r="31" spans="1:30">
      <c r="A31" s="544"/>
      <c r="B31" s="578" t="str">
        <f>IFERROR(INDEX(Resume!$C$3:$F$173,MATCH(ROW($B12),Resume!$O$3:$O$173,0),MATCH(Quotation!B$18,Resume!$C$2:$F$2,0)),"")</f>
        <v/>
      </c>
      <c r="C31" s="10" t="str">
        <f>IFERROR(INDEX(Resume!$C$3:$F$173,MATCH(ROW($B12),Resume!$O$3:$O$173,0),MATCH(Quotation!C$18,Resume!$C$2:$F$2,0)),"")</f>
        <v/>
      </c>
      <c r="D31" s="1108" t="str">
        <f>IFERROR(INDEX(Resume!$C$3:$F$173,MATCH(ROW($B12),Resume!$O$3:$O$173,0),MATCH(Quotation!D$18,Resume!$C$2:$F$2,0)),"")</f>
        <v/>
      </c>
      <c r="E31" s="1109"/>
      <c r="F31" s="579" t="str">
        <f>IFERROR(INDEX(Resume!$C$3:$F$173,MATCH(ROW($B12),Resume!$O$3:$O$173,0),MATCH(Quotation!F$18,Resume!$C$2:$F$2,0)),"")</f>
        <v/>
      </c>
      <c r="G31" s="575" t="str">
        <f t="shared" si="0"/>
        <v/>
      </c>
    </row>
    <row r="32" spans="1:30">
      <c r="A32" s="544"/>
      <c r="B32" s="578" t="str">
        <f>IFERROR(INDEX(Resume!$C$3:$F$173,MATCH(ROW($B13),Resume!$O$3:$O$173,0),MATCH(Quotation!B$18,Resume!$C$2:$F$2,0)),"")</f>
        <v/>
      </c>
      <c r="C32" s="10" t="str">
        <f>IFERROR(INDEX(Resume!$C$3:$F$173,MATCH(ROW($B13),Resume!$O$3:$O$173,0),MATCH(Quotation!C$18,Resume!$C$2:$F$2,0)),"")</f>
        <v/>
      </c>
      <c r="D32" s="1108" t="str">
        <f>IFERROR(INDEX(Resume!$C$3:$F$173,MATCH(ROW($B13),Resume!$O$3:$O$173,0),MATCH(Quotation!D$18,Resume!$C$2:$F$2,0)),"")</f>
        <v/>
      </c>
      <c r="E32" s="1109"/>
      <c r="F32" s="579" t="str">
        <f>IFERROR(INDEX(Resume!$C$3:$F$173,MATCH(ROW($B13),Resume!$O$3:$O$173,0),MATCH(Quotation!F$18,Resume!$C$2:$F$2,0)),"")</f>
        <v/>
      </c>
      <c r="G32" s="575" t="str">
        <f t="shared" si="0"/>
        <v/>
      </c>
    </row>
    <row r="33" spans="1:10">
      <c r="A33" s="544"/>
      <c r="B33" s="578" t="str">
        <f>IFERROR(INDEX(Resume!$C$3:$F$173,MATCH(ROW($B14),Resume!$O$3:$O$173,0),MATCH(Quotation!B$18,Resume!$C$2:$F$2,0)),"")</f>
        <v/>
      </c>
      <c r="C33" s="10" t="str">
        <f>IFERROR(INDEX(Resume!$C$3:$F$173,MATCH(ROW($B14),Resume!$O$3:$O$173,0),MATCH(Quotation!C$18,Resume!$C$2:$F$2,0)),"")</f>
        <v/>
      </c>
      <c r="D33" s="1108" t="str">
        <f>IFERROR(INDEX(Resume!$C$3:$F$173,MATCH(ROW($B14),Resume!$O$3:$O$173,0),MATCH(Quotation!D$18,Resume!$C$2:$F$2,0)),"")</f>
        <v/>
      </c>
      <c r="E33" s="1109"/>
      <c r="F33" s="579" t="str">
        <f>IFERROR(INDEX(Resume!$C$3:$F$173,MATCH(ROW($B14),Resume!$O$3:$O$173,0),MATCH(Quotation!F$18,Resume!$C$2:$F$2,0)),"")</f>
        <v/>
      </c>
      <c r="G33" s="575" t="str">
        <f t="shared" si="0"/>
        <v/>
      </c>
    </row>
    <row r="34" spans="1:10">
      <c r="A34" s="544"/>
      <c r="B34" s="578" t="str">
        <f>IFERROR(INDEX(Resume!$C$3:$F$173,MATCH(ROW($B15),Resume!$O$3:$O$173,0),MATCH(Quotation!B$18,Resume!$C$2:$F$2,0)),"")</f>
        <v/>
      </c>
      <c r="C34" s="10" t="str">
        <f>IFERROR(INDEX(Resume!$C$3:$F$173,MATCH(ROW($B15),Resume!$O$3:$O$173,0),MATCH(Quotation!C$18,Resume!$C$2:$F$2,0)),"")</f>
        <v/>
      </c>
      <c r="D34" s="1108" t="str">
        <f>IFERROR(INDEX(Resume!$C$3:$F$173,MATCH(ROW($B15),Resume!$O$3:$O$173,0),MATCH(Quotation!D$18,Resume!$C$2:$F$2,0)),"")</f>
        <v/>
      </c>
      <c r="E34" s="1109"/>
      <c r="F34" s="579" t="str">
        <f>IFERROR(INDEX(Resume!$C$3:$F$173,MATCH(ROW($B15),Resume!$O$3:$O$173,0),MATCH(Quotation!F$18,Resume!$C$2:$F$2,0)),"")</f>
        <v/>
      </c>
      <c r="G34" s="575" t="str">
        <f t="shared" si="0"/>
        <v/>
      </c>
      <c r="I34" s="556"/>
    </row>
    <row r="35" spans="1:10">
      <c r="A35" s="544"/>
      <c r="B35" s="578" t="str">
        <f>IFERROR(INDEX(Resume!$C$3:$F$173,MATCH(ROW($B16),Resume!$O$3:$O$173,0),MATCH(Quotation!B$18,Resume!$C$2:$F$2,0)),"")</f>
        <v/>
      </c>
      <c r="C35" s="10" t="str">
        <f>IFERROR(INDEX(Resume!$C$3:$F$173,MATCH(ROW($B16),Resume!$O$3:$O$173,0),MATCH(Quotation!C$18,Resume!$C$2:$F$2,0)),"")</f>
        <v/>
      </c>
      <c r="D35" s="1108" t="str">
        <f>IFERROR(INDEX(Resume!$C$3:$F$173,MATCH(ROW($B16),Resume!$O$3:$O$173,0),MATCH(Quotation!D$18,Resume!$C$2:$F$2,0)),"")</f>
        <v/>
      </c>
      <c r="E35" s="1109"/>
      <c r="F35" s="579" t="str">
        <f>IFERROR(INDEX(Resume!$C$3:$F$173,MATCH(ROW($B16),Resume!$O$3:$O$173,0),MATCH(Quotation!F$18,Resume!$C$2:$F$2,0)),"")</f>
        <v/>
      </c>
      <c r="G35" s="575" t="str">
        <f t="shared" si="0"/>
        <v/>
      </c>
    </row>
    <row r="36" spans="1:10">
      <c r="A36" s="544"/>
      <c r="B36" s="578" t="str">
        <f>IFERROR(INDEX(Resume!$C$3:$F$173,MATCH(ROW($B17),Resume!$O$3:$O$173,0),MATCH(Quotation!B$18,Resume!$C$2:$F$2,0)),"")</f>
        <v/>
      </c>
      <c r="C36" s="10" t="str">
        <f>IFERROR(INDEX(Resume!$C$3:$F$173,MATCH(ROW($B17),Resume!$O$3:$O$173,0),MATCH(Quotation!C$18,Resume!$C$2:$F$2,0)),"")</f>
        <v/>
      </c>
      <c r="D36" s="1108" t="str">
        <f>IFERROR(INDEX(Resume!$C$3:$F$173,MATCH(ROW($B17),Resume!$O$3:$O$173,0),MATCH(Quotation!D$18,Resume!$C$2:$F$2,0)),"")</f>
        <v/>
      </c>
      <c r="E36" s="1109"/>
      <c r="F36" s="579" t="str">
        <f>IFERROR(INDEX(Resume!$C$3:$F$173,MATCH(ROW($B17),Resume!$O$3:$O$173,0),MATCH(Quotation!F$18,Resume!$C$2:$F$2,0)),"")</f>
        <v/>
      </c>
      <c r="G36" s="575" t="str">
        <f t="shared" si="0"/>
        <v/>
      </c>
    </row>
    <row r="37" spans="1:10">
      <c r="A37" s="544"/>
      <c r="B37" s="578" t="str">
        <f>IFERROR(INDEX(Resume!$C$3:$F$173,MATCH(ROW($B18),Resume!$O$3:$O$173,0),MATCH(Quotation!B$18,Resume!$C$2:$F$2,0)),"")</f>
        <v/>
      </c>
      <c r="C37" s="10" t="str">
        <f>IFERROR(INDEX(Resume!$C$3:$F$173,MATCH(ROW($B18),Resume!$O$3:$O$173,0),MATCH(Quotation!C$18,Resume!$C$2:$F$2,0)),"")</f>
        <v/>
      </c>
      <c r="D37" s="1108" t="str">
        <f>IFERROR(INDEX(Resume!$C$3:$F$173,MATCH(ROW($B18),Resume!$O$3:$O$173,0),MATCH(Quotation!D$18,Resume!$C$2:$F$2,0)),"")</f>
        <v/>
      </c>
      <c r="E37" s="1109"/>
      <c r="F37" s="579" t="str">
        <f>IFERROR(INDEX(Resume!$C$3:$F$173,MATCH(ROW($B18),Resume!$O$3:$O$173,0),MATCH(Quotation!F$18,Resume!$C$2:$F$2,0)),"")</f>
        <v/>
      </c>
      <c r="G37" s="575" t="str">
        <f t="shared" si="0"/>
        <v/>
      </c>
    </row>
    <row r="38" spans="1:10">
      <c r="A38" s="544"/>
      <c r="B38" s="578" t="str">
        <f>IFERROR(INDEX(Resume!$C$3:$F$173,MATCH(ROW($B19),Resume!$O$3:$O$173,0),MATCH(Quotation!B$18,Resume!$C$2:$F$2,0)),"")</f>
        <v/>
      </c>
      <c r="C38" s="10" t="str">
        <f>IFERROR(INDEX(Resume!$C$3:$F$173,MATCH(ROW($B19),Resume!$O$3:$O$173,0),MATCH(Quotation!C$18,Resume!$C$2:$F$2,0)),"")</f>
        <v/>
      </c>
      <c r="D38" s="1108" t="str">
        <f>IFERROR(INDEX(Resume!$C$3:$F$173,MATCH(ROW($B19),Resume!$O$3:$O$173,0),MATCH(Quotation!D$18,Resume!$C$2:$F$2,0)),"")</f>
        <v/>
      </c>
      <c r="E38" s="1109"/>
      <c r="F38" s="579" t="str">
        <f>IFERROR(INDEX(Resume!$C$3:$F$173,MATCH(ROW($B19),Resume!$O$3:$O$173,0),MATCH(Quotation!F$18,Resume!$C$2:$F$2,0)),"")</f>
        <v/>
      </c>
      <c r="G38" s="575" t="str">
        <f t="shared" si="0"/>
        <v/>
      </c>
    </row>
    <row r="39" spans="1:10">
      <c r="A39" s="544"/>
      <c r="B39" s="578" t="str">
        <f>IFERROR(INDEX(Resume!$C$3:$F$173,MATCH(ROW($B20),Resume!$O$3:$O$173,0),MATCH(Quotation!B$18,Resume!$C$2:$F$2,0)),"")</f>
        <v/>
      </c>
      <c r="C39" s="10" t="str">
        <f>IFERROR(INDEX(Resume!$C$3:$F$173,MATCH(ROW($B20),Resume!$O$3:$O$173,0),MATCH(Quotation!C$18,Resume!$C$2:$F$2,0)),"")</f>
        <v/>
      </c>
      <c r="D39" s="1108" t="str">
        <f>IFERROR(INDEX(Resume!$C$3:$F$173,MATCH(ROW($B20),Resume!$O$3:$O$173,0),MATCH(Quotation!D$18,Resume!$C$2:$F$2,0)),"")</f>
        <v/>
      </c>
      <c r="E39" s="1109"/>
      <c r="F39" s="579" t="str">
        <f>IFERROR(INDEX(Resume!$C$3:$F$173,MATCH(ROW($B20),Resume!$O$3:$O$173,0),MATCH(Quotation!F$18,Resume!$C$2:$F$2,0)),"")</f>
        <v/>
      </c>
      <c r="G39" s="575" t="str">
        <f t="shared" si="0"/>
        <v/>
      </c>
    </row>
    <row r="40" spans="1:10">
      <c r="A40" s="544"/>
      <c r="B40" s="578" t="str">
        <f>IFERROR(INDEX(Resume!$C$3:$F$173,MATCH(ROW($B21),Resume!$O$3:$O$173,0),MATCH(Quotation!B$18,Resume!$C$2:$F$2,0)),"")</f>
        <v/>
      </c>
      <c r="C40" s="10" t="str">
        <f>IFERROR(INDEX(Resume!$C$3:$F$173,MATCH(ROW($B21),Resume!$O$3:$O$173,0),MATCH(Quotation!C$18,Resume!$C$2:$F$2,0)),"")</f>
        <v/>
      </c>
      <c r="D40" s="1108" t="str">
        <f>IFERROR(INDEX(Resume!$C$3:$F$173,MATCH(ROW($B21),Resume!$O$3:$O$173,0),MATCH(Quotation!D$18,Resume!$C$2:$F$2,0)),"")</f>
        <v/>
      </c>
      <c r="E40" s="1109"/>
      <c r="F40" s="579" t="str">
        <f>IFERROR(INDEX(Resume!$C$3:$F$173,MATCH(ROW($B21),Resume!$O$3:$O$173,0),MATCH(Quotation!F$18,Resume!$C$2:$F$2,0)),"")</f>
        <v/>
      </c>
      <c r="G40" s="575" t="str">
        <f t="shared" si="0"/>
        <v/>
      </c>
    </row>
    <row r="41" spans="1:10">
      <c r="A41" s="544"/>
      <c r="B41" s="578" t="str">
        <f>IFERROR(INDEX(Resume!$C$3:$F$173,MATCH(ROW($B22),Resume!$O$3:$O$173,0),MATCH(Quotation!B$18,Resume!$C$2:$F$2,0)),"")</f>
        <v/>
      </c>
      <c r="C41" s="10" t="str">
        <f>IFERROR(INDEX(Resume!$C$3:$F$173,MATCH(ROW($B22),Resume!$O$3:$O$173,0),MATCH(Quotation!C$18,Resume!$C$2:$F$2,0)),"")</f>
        <v/>
      </c>
      <c r="D41" s="1108" t="str">
        <f>IFERROR(INDEX(Resume!$C$3:$F$173,MATCH(ROW($B22),Resume!$O$3:$O$173,0),MATCH(Quotation!D$18,Resume!$C$2:$F$2,0)),"")</f>
        <v/>
      </c>
      <c r="E41" s="1109"/>
      <c r="F41" s="579" t="str">
        <f>IFERROR(INDEX(Resume!$C$3:$F$173,MATCH(ROW($B22),Resume!$O$3:$O$173,0),MATCH(Quotation!F$18,Resume!$C$2:$F$2,0)),"")</f>
        <v/>
      </c>
      <c r="G41" s="575" t="str">
        <f t="shared" si="0"/>
        <v/>
      </c>
      <c r="I41" s="556"/>
    </row>
    <row r="42" spans="1:10">
      <c r="A42" s="544"/>
      <c r="B42" s="578" t="str">
        <f>IFERROR(INDEX(Resume!$C$3:$F$173,MATCH(ROW($B23),Resume!$O$3:$O$173,0),MATCH(Quotation!B$18,Resume!$C$2:$F$2,0)),"")</f>
        <v/>
      </c>
      <c r="C42" s="10" t="str">
        <f>IFERROR(INDEX(Resume!$C$3:$F$173,MATCH(ROW($B23),Resume!$O$3:$O$173,0),MATCH(Quotation!C$18,Resume!$C$2:$F$2,0)),"")</f>
        <v/>
      </c>
      <c r="D42" s="1108" t="str">
        <f>IFERROR(INDEX(Resume!$C$3:$F$173,MATCH(ROW($B23),Resume!$O$3:$O$173,0),MATCH(Quotation!D$18,Resume!$C$2:$F$2,0)),"")</f>
        <v/>
      </c>
      <c r="E42" s="1109"/>
      <c r="F42" s="579" t="str">
        <f>IFERROR(INDEX(Resume!$C$3:$F$173,MATCH(ROW($B23),Resume!$O$3:$O$173,0),MATCH(Quotation!F$18,Resume!$C$2:$F$2,0)),"")</f>
        <v/>
      </c>
      <c r="G42" s="575" t="str">
        <f t="shared" si="0"/>
        <v/>
      </c>
      <c r="I42" s="556"/>
    </row>
    <row r="43" spans="1:10">
      <c r="A43" s="544"/>
      <c r="B43" s="578" t="str">
        <f>IFERROR(INDEX(Resume!$C$3:$F$173,MATCH(ROW($B24),Resume!$O$3:$O$173,0),MATCH(Quotation!B$18,Resume!$C$2:$F$2,0)),"")</f>
        <v/>
      </c>
      <c r="C43" s="10" t="str">
        <f>IFERROR(INDEX(Resume!$C$3:$F$173,MATCH(ROW($B24),Resume!$O$3:$O$173,0),MATCH(Quotation!C$18,Resume!$C$2:$F$2,0)),"")</f>
        <v/>
      </c>
      <c r="D43" s="1108" t="str">
        <f>IFERROR(INDEX(Resume!$C$3:$F$173,MATCH(ROW($B24),Resume!$O$3:$O$173,0),MATCH(Quotation!D$18,Resume!$C$2:$F$2,0)),"")</f>
        <v/>
      </c>
      <c r="E43" s="1109"/>
      <c r="F43" s="579" t="str">
        <f>IFERROR(INDEX(Resume!$C$3:$F$173,MATCH(ROW($B24),Resume!$O$3:$O$173,0),MATCH(Quotation!F$18,Resume!$C$2:$F$2,0)),"")</f>
        <v/>
      </c>
      <c r="G43" s="575" t="str">
        <f t="shared" si="0"/>
        <v/>
      </c>
      <c r="I43" s="556"/>
    </row>
    <row r="44" spans="1:10">
      <c r="A44" s="544"/>
      <c r="B44" s="578" t="str">
        <f>IFERROR(INDEX(Resume!$C$3:$F$173,MATCH(ROW($B25),Resume!$O$3:$O$173,0),MATCH(Quotation!B$18,Resume!$C$2:$F$2,0)),"")</f>
        <v/>
      </c>
      <c r="C44" s="10" t="str">
        <f>IFERROR(INDEX(Resume!$C$3:$F$173,MATCH(ROW($B25),Resume!$O$3:$O$173,0),MATCH(Quotation!C$18,Resume!$C$2:$F$2,0)),"")</f>
        <v/>
      </c>
      <c r="D44" s="1108" t="str">
        <f>IFERROR(INDEX(Resume!$C$3:$F$173,MATCH(ROW($B25),Resume!$O$3:$O$173,0),MATCH(Quotation!D$18,Resume!$C$2:$F$2,0)),"")</f>
        <v/>
      </c>
      <c r="E44" s="1109"/>
      <c r="F44" s="579" t="str">
        <f>IFERROR(INDEX(Resume!$C$3:$F$173,MATCH(ROW($B25),Resume!$O$3:$O$173,0),MATCH(Quotation!F$18,Resume!$C$2:$F$2,0)),"")</f>
        <v/>
      </c>
      <c r="G44" s="575" t="str">
        <f t="shared" si="0"/>
        <v/>
      </c>
      <c r="I44" s="556"/>
    </row>
    <row r="45" spans="1:10">
      <c r="A45" s="544"/>
      <c r="B45" s="578" t="str">
        <f>IFERROR(INDEX(Resume!$C$3:$F$173,MATCH(ROW($B26),Resume!$O$3:$O$173,0),MATCH(Quotation!B$18,Resume!$C$2:$F$2,0)),"")</f>
        <v/>
      </c>
      <c r="C45" s="10" t="str">
        <f>IFERROR(INDEX(Resume!$C$3:$F$173,MATCH(ROW($B26),Resume!$O$3:$O$173,0),MATCH(Quotation!C$18,Resume!$C$2:$F$2,0)),"")</f>
        <v/>
      </c>
      <c r="D45" s="1108" t="str">
        <f>IFERROR(INDEX(Resume!$C$3:$F$173,MATCH(ROW($B26),Resume!$O$3:$O$173,0),MATCH(Quotation!D$18,Resume!$C$2:$F$2,0)),"")</f>
        <v/>
      </c>
      <c r="E45" s="1109"/>
      <c r="F45" s="579" t="str">
        <f>IFERROR(INDEX(Resume!$C$3:$F$173,MATCH(ROW($B26),Resume!$O$3:$O$173,0),MATCH(Quotation!F$18,Resume!$C$2:$F$2,0)),"")</f>
        <v/>
      </c>
      <c r="G45" s="575" t="str">
        <f t="shared" si="0"/>
        <v/>
      </c>
    </row>
    <row r="46" spans="1:10">
      <c r="A46" s="544"/>
      <c r="B46" s="578" t="str">
        <f>IFERROR(INDEX(Resume!$C$3:$F$173,MATCH(ROW($B27),Resume!$O$3:$O$173,0),MATCH(Quotation!B$18,Resume!$C$2:$F$2,0)),"")</f>
        <v/>
      </c>
      <c r="C46" s="10" t="str">
        <f>IFERROR(INDEX(Resume!$C$3:$F$173,MATCH(ROW($B27),Resume!$O$3:$O$173,0),MATCH(Quotation!C$18,Resume!$C$2:$F$2,0)),"")</f>
        <v/>
      </c>
      <c r="D46" s="1108" t="str">
        <f>IFERROR(INDEX(Resume!$C$3:$F$173,MATCH(ROW($B27),Resume!$O$3:$O$173,0),MATCH(Quotation!D$18,Resume!$C$2:$F$2,0)),"")</f>
        <v/>
      </c>
      <c r="E46" s="1109"/>
      <c r="F46" s="579" t="str">
        <f>IFERROR(INDEX(Resume!$C$3:$F$173,MATCH(ROW($B27),Resume!$O$3:$O$173,0),MATCH(Quotation!F$18,Resume!$C$2:$F$2,0)),"")</f>
        <v/>
      </c>
      <c r="G46" s="575" t="str">
        <f t="shared" si="0"/>
        <v/>
      </c>
      <c r="I46" s="583"/>
      <c r="J46" s="583"/>
    </row>
    <row r="47" spans="1:10">
      <c r="A47" s="544"/>
      <c r="B47" s="578" t="str">
        <f>IFERROR(INDEX(Resume!$C$3:$F$173,MATCH(ROW($B28),Resume!$O$3:$O$173,0),MATCH(Quotation!B$18,Resume!$C$2:$F$2,0)),"")</f>
        <v/>
      </c>
      <c r="C47" s="10" t="str">
        <f>IFERROR(INDEX(Resume!$C$3:$F$173,MATCH(ROW($B28),Resume!$O$3:$O$173,0),MATCH(Quotation!C$18,Resume!$C$2:$F$2,0)),"")</f>
        <v/>
      </c>
      <c r="D47" s="1108" t="str">
        <f>IFERROR(INDEX(Resume!$C$3:$F$173,MATCH(ROW($B28),Resume!$O$3:$O$173,0),MATCH(Quotation!D$18,Resume!$C$2:$F$2,0)),"")</f>
        <v/>
      </c>
      <c r="E47" s="1109"/>
      <c r="F47" s="579" t="str">
        <f>IFERROR(INDEX(Resume!$C$3:$F$173,MATCH(ROW($B28),Resume!$O$3:$O$173,0),MATCH(Quotation!F$18,Resume!$C$2:$F$2,0)),"")</f>
        <v/>
      </c>
      <c r="G47" s="575" t="str">
        <f t="shared" si="0"/>
        <v/>
      </c>
      <c r="I47" s="583"/>
      <c r="J47" s="583"/>
    </row>
    <row r="48" spans="1:10">
      <c r="A48" s="544"/>
      <c r="B48" s="578" t="str">
        <f>IFERROR(INDEX(Resume!$C$3:$F$173,MATCH(ROW($B29),Resume!$O$3:$O$173,0),MATCH(Quotation!B$18,Resume!$C$2:$F$2,0)),"")</f>
        <v/>
      </c>
      <c r="C48" s="10" t="str">
        <f>IFERROR(INDEX(Resume!$C$3:$F$173,MATCH(ROW($B29),Resume!$O$3:$O$173,0),MATCH(Quotation!C$18,Resume!$C$2:$F$2,0)),"")</f>
        <v/>
      </c>
      <c r="D48" s="1108" t="str">
        <f>IFERROR(INDEX(Resume!$C$3:$F$173,MATCH(ROW($B29),Resume!$O$3:$O$173,0),MATCH(Quotation!D$18,Resume!$C$2:$F$2,0)),"")</f>
        <v/>
      </c>
      <c r="E48" s="1109"/>
      <c r="F48" s="579" t="str">
        <f>IFERROR(INDEX(Resume!$C$3:$F$173,MATCH(ROW($B29),Resume!$O$3:$O$173,0),MATCH(Quotation!F$18,Resume!$C$2:$F$2,0)),"")</f>
        <v/>
      </c>
      <c r="G48" s="575" t="str">
        <f t="shared" si="0"/>
        <v/>
      </c>
      <c r="I48" s="583"/>
      <c r="J48" s="583"/>
    </row>
    <row r="49" spans="1:10">
      <c r="A49" s="544"/>
      <c r="B49" s="578" t="str">
        <f>IFERROR(INDEX(Resume!$C$3:$F$173,MATCH(ROW($B30),Resume!$O$3:$O$173,0),MATCH(Quotation!B$18,Resume!$C$2:$F$2,0)),"")</f>
        <v/>
      </c>
      <c r="C49" s="10" t="str">
        <f>IFERROR(INDEX(Resume!$C$3:$F$173,MATCH(ROW($B30),Resume!$O$3:$O$173,0),MATCH(Quotation!C$18,Resume!$C$2:$F$2,0)),"")</f>
        <v/>
      </c>
      <c r="D49" s="1108" t="str">
        <f>IFERROR(INDEX(Resume!$C$3:$F$173,MATCH(ROW($B30),Resume!$O$3:$O$173,0),MATCH(Quotation!D$18,Resume!$C$2:$F$2,0)),"")</f>
        <v/>
      </c>
      <c r="E49" s="1109"/>
      <c r="F49" s="579" t="str">
        <f>IFERROR(INDEX(Resume!$C$3:$F$173,MATCH(ROW($B30),Resume!$O$3:$O$173,0),MATCH(Quotation!F$18,Resume!$C$2:$F$2,0)),"")</f>
        <v/>
      </c>
      <c r="G49" s="575" t="str">
        <f t="shared" si="0"/>
        <v/>
      </c>
      <c r="I49" s="583"/>
      <c r="J49" s="583"/>
    </row>
    <row r="50" spans="1:10">
      <c r="A50" s="544"/>
      <c r="B50" s="578" t="str">
        <f>IFERROR(INDEX(Resume!$C$3:$F$173,MATCH(ROW($B31),Resume!$O$3:$O$173,0),MATCH(Quotation!B$18,Resume!$C$2:$F$2,0)),"")</f>
        <v/>
      </c>
      <c r="C50" s="10" t="str">
        <f>IFERROR(INDEX(Resume!$C$3:$F$173,MATCH(ROW($B31),Resume!$O$3:$O$173,0),MATCH(Quotation!C$18,Resume!$C$2:$F$2,0)),"")</f>
        <v/>
      </c>
      <c r="D50" s="1108" t="str">
        <f>IFERROR(INDEX(Resume!$C$3:$F$173,MATCH(ROW($B31),Resume!$O$3:$O$173,0),MATCH(Quotation!D$18,Resume!$C$2:$F$2,0)),"")</f>
        <v/>
      </c>
      <c r="E50" s="1109"/>
      <c r="F50" s="579" t="str">
        <f>IFERROR(INDEX(Resume!$C$3:$F$173,MATCH(ROW($B31),Resume!$O$3:$O$173,0),MATCH(Quotation!F$18,Resume!$C$2:$F$2,0)),"")</f>
        <v/>
      </c>
      <c r="G50" s="575" t="str">
        <f t="shared" si="0"/>
        <v/>
      </c>
      <c r="I50" s="583"/>
      <c r="J50" s="583"/>
    </row>
    <row r="51" spans="1:10">
      <c r="A51" s="544"/>
      <c r="B51" s="578" t="str">
        <f>IFERROR(INDEX(Resume!$C$3:$F$173,MATCH(ROW($B32),Resume!$O$3:$O$173,0),MATCH(Quotation!B$18,Resume!$C$2:$F$2,0)),"")</f>
        <v/>
      </c>
      <c r="C51" s="10" t="str">
        <f>IFERROR(INDEX(Resume!$C$3:$F$173,MATCH(ROW($B32),Resume!$O$3:$O$173,0),MATCH(Quotation!C$18,Resume!$C$2:$F$2,0)),"")</f>
        <v/>
      </c>
      <c r="D51" s="1108" t="str">
        <f>IFERROR(INDEX(Resume!$C$3:$F$173,MATCH(ROW($B32),Resume!$O$3:$O$173,0),MATCH(Quotation!D$18,Resume!$C$2:$F$2,0)),"")</f>
        <v/>
      </c>
      <c r="E51" s="1109"/>
      <c r="F51" s="579" t="str">
        <f>IFERROR(INDEX(Resume!$C$3:$F$173,MATCH(ROW($B32),Resume!$O$3:$O$173,0),MATCH(Quotation!F$18,Resume!$C$2:$F$2,0)),"")</f>
        <v/>
      </c>
      <c r="G51" s="575" t="str">
        <f t="shared" si="0"/>
        <v/>
      </c>
      <c r="I51" s="583"/>
      <c r="J51" s="583"/>
    </row>
    <row r="52" spans="1:10">
      <c r="A52" s="544"/>
      <c r="B52" s="578" t="str">
        <f>IFERROR(INDEX(Resume!$C$3:$F$173,MATCH(ROW($B33),Resume!$O$3:$O$173,0),MATCH(Quotation!B$18,Resume!$C$2:$F$2,0)),"")</f>
        <v/>
      </c>
      <c r="C52" s="10" t="str">
        <f>IFERROR(INDEX(Resume!$C$3:$F$173,MATCH(ROW($B33),Resume!$O$3:$O$173,0),MATCH(Quotation!C$18,Resume!$C$2:$F$2,0)),"")</f>
        <v/>
      </c>
      <c r="D52" s="1108" t="str">
        <f>IFERROR(INDEX(Resume!$C$3:$F$173,MATCH(ROW($B33),Resume!$O$3:$O$173,0),MATCH(Quotation!D$18,Resume!$C$2:$F$2,0)),"")</f>
        <v/>
      </c>
      <c r="E52" s="1109"/>
      <c r="F52" s="579" t="str">
        <f>IFERROR(INDEX(Resume!$C$3:$F$173,MATCH(ROW($B33),Resume!$O$3:$O$173,0),MATCH(Quotation!F$18,Resume!$C$2:$F$2,0)),"")</f>
        <v/>
      </c>
      <c r="G52" s="575" t="str">
        <f t="shared" si="0"/>
        <v/>
      </c>
      <c r="I52" s="583"/>
      <c r="J52" s="583"/>
    </row>
    <row r="53" spans="1:10">
      <c r="A53" s="544"/>
      <c r="B53" s="578" t="str">
        <f>IFERROR(INDEX(Resume!$C$3:$F$173,MATCH(ROW($B34),Resume!$O$3:$O$173,0),MATCH(Quotation!B$18,Resume!$C$2:$F$2,0)),"")</f>
        <v/>
      </c>
      <c r="C53" s="10" t="str">
        <f>IFERROR(INDEX(Resume!$C$3:$F$173,MATCH(ROW($B34),Resume!$O$3:$O$173,0),MATCH(Quotation!C$18,Resume!$C$2:$F$2,0)),"")</f>
        <v/>
      </c>
      <c r="D53" s="1108" t="str">
        <f>IFERROR(INDEX(Resume!$C$3:$F$173,MATCH(ROW($B34),Resume!$O$3:$O$173,0),MATCH(Quotation!D$18,Resume!$C$2:$F$2,0)),"")</f>
        <v/>
      </c>
      <c r="E53" s="1109"/>
      <c r="F53" s="579" t="str">
        <f>IFERROR(INDEX(Resume!$C$3:$F$173,MATCH(ROW($B34),Resume!$O$3:$O$173,0),MATCH(Quotation!F$18,Resume!$C$2:$F$2,0)),"")</f>
        <v/>
      </c>
      <c r="G53" s="575" t="str">
        <f t="shared" si="0"/>
        <v/>
      </c>
      <c r="I53" s="583"/>
      <c r="J53" s="583"/>
    </row>
    <row r="54" spans="1:10">
      <c r="A54" s="544"/>
      <c r="B54" s="578" t="str">
        <f>IFERROR(INDEX(Resume!$C$3:$F$173,MATCH(ROW($B35),Resume!$O$3:$O$173,0),MATCH(Quotation!B$18,Resume!$C$2:$F$2,0)),"")</f>
        <v/>
      </c>
      <c r="C54" s="10" t="str">
        <f>IFERROR(INDEX(Resume!$C$3:$F$173,MATCH(ROW($B35),Resume!$O$3:$O$173,0),MATCH(Quotation!C$18,Resume!$C$2:$F$2,0)),"")</f>
        <v/>
      </c>
      <c r="D54" s="1108" t="str">
        <f>IFERROR(INDEX(Resume!$C$3:$F$173,MATCH(ROW($B35),Resume!$O$3:$O$173,0),MATCH(Quotation!D$18,Resume!$C$2:$F$2,0)),"")</f>
        <v/>
      </c>
      <c r="E54" s="1109"/>
      <c r="F54" s="579" t="str">
        <f>IFERROR(INDEX(Resume!$C$3:$F$173,MATCH(ROW($B35),Resume!$O$3:$O$173,0),MATCH(Quotation!F$18,Resume!$C$2:$F$2,0)),"")</f>
        <v/>
      </c>
      <c r="G54" s="575" t="str">
        <f t="shared" si="0"/>
        <v/>
      </c>
      <c r="I54" s="583"/>
      <c r="J54" s="583"/>
    </row>
    <row r="55" spans="1:10">
      <c r="A55" s="544"/>
      <c r="B55" s="578" t="str">
        <f>IFERROR(INDEX(Resume!$C$3:$F$173,MATCH(ROW($B36),Resume!$O$3:$O$173,0),MATCH(Quotation!B$18,Resume!$C$2:$F$2,0)),"")</f>
        <v/>
      </c>
      <c r="C55" s="10" t="str">
        <f>IFERROR(INDEX(Resume!$C$3:$F$173,MATCH(ROW($B36),Resume!$O$3:$O$173,0),MATCH(Quotation!C$18,Resume!$C$2:$F$2,0)),"")</f>
        <v/>
      </c>
      <c r="D55" s="1108" t="str">
        <f>IFERROR(INDEX(Resume!$C$3:$F$173,MATCH(ROW($B36),Resume!$O$3:$O$173,0),MATCH(Quotation!D$18,Resume!$C$2:$F$2,0)),"")</f>
        <v/>
      </c>
      <c r="E55" s="1109"/>
      <c r="F55" s="579" t="str">
        <f>IFERROR(INDEX(Resume!$C$3:$F$173,MATCH(ROW($B36),Resume!$O$3:$O$173,0),MATCH(Quotation!F$18,Resume!$C$2:$F$2,0)),"")</f>
        <v/>
      </c>
      <c r="G55" s="575" t="str">
        <f t="shared" si="0"/>
        <v/>
      </c>
      <c r="I55" s="583"/>
      <c r="J55" s="583"/>
    </row>
    <row r="56" spans="1:10">
      <c r="A56" s="544"/>
      <c r="B56" s="584"/>
      <c r="C56" s="585" t="s">
        <v>40</v>
      </c>
      <c r="D56" s="584"/>
      <c r="E56" s="586"/>
      <c r="F56" s="587" t="str">
        <f>VLOOKUP(E1,B86:W88,17)</f>
        <v>SUB-TOTAL</v>
      </c>
      <c r="G56" s="678">
        <f>SUM(G19:G55)</f>
        <v>25</v>
      </c>
      <c r="I56" s="583"/>
      <c r="J56" s="583"/>
    </row>
    <row r="57" spans="1:10">
      <c r="A57" s="544"/>
      <c r="B57" s="668" t="str">
        <f>VLOOKUP(E1,B86:W88,16)</f>
        <v>TRANSPORT SHOULD BE DONE BY:</v>
      </c>
      <c r="C57" s="669"/>
      <c r="D57" s="670" t="str">
        <f>IF(Resume!J175&lt;150,"COURRIER","TRUCK LTL")</f>
        <v>COURRIER</v>
      </c>
      <c r="E57" s="586"/>
      <c r="F57" s="587"/>
      <c r="G57" s="663" t="e">
        <f>IF(F57= "NO TAXES",0,VLOOKUP(F57,B103:C112,2))*G56</f>
        <v>#N/A</v>
      </c>
      <c r="I57" s="583"/>
      <c r="J57" s="583"/>
    </row>
    <row r="58" spans="1:10">
      <c r="A58" s="544"/>
      <c r="B58" s="588"/>
      <c r="C58" s="667">
        <f>IF(D58=Resume!E181,Resume!D181,IF(D58=Resume!E182,Resume!D182,IF(D58=Resume!E183,Resume!D183,IF(D58=Resume!E184,Resume!D184,IF(D58=Resume!E185,Resume!D185,0)))))</f>
        <v>0</v>
      </c>
      <c r="D58" s="666" t="str">
        <f>IFERROR(INDEX(Resume!$D$181:$G$185,MATCH(ROW($B1),Resume!$G$181:$G$185,0),MATCH(Quotation!D$57,Resume!$D$180:$G$180)),"")</f>
        <v/>
      </c>
      <c r="E58" s="586"/>
      <c r="F58" s="589" t="s">
        <v>69</v>
      </c>
      <c r="G58" s="663" t="e">
        <f>G56+G57</f>
        <v>#N/A</v>
      </c>
      <c r="I58" s="583"/>
      <c r="J58" s="583"/>
    </row>
    <row r="59" spans="1:10">
      <c r="A59" s="544"/>
      <c r="B59" s="590"/>
      <c r="C59" s="667">
        <f>IF(D59=Resume!E182,Resume!D182,IF(D59=Resume!E183,Resume!D183,IF(D59=Resume!E184,Resume!D184,IF(D59=Resume!E185,Resume!D185,IF(D59=Resume!E186,Resume!D186,0)))))</f>
        <v>0</v>
      </c>
      <c r="D59" s="666" t="str">
        <f>IFERROR(INDEX(Resume!$D$181:$G$185,MATCH(ROW($B2),Resume!$G$181:$G$185,0),MATCH(Quotation!D$57,Resume!$D$180:$G$180)),"")</f>
        <v/>
      </c>
      <c r="E59" s="591"/>
      <c r="F59" s="544"/>
      <c r="G59" s="544"/>
      <c r="I59" s="583"/>
      <c r="J59" s="583"/>
    </row>
    <row r="60" spans="1:10">
      <c r="A60" s="544"/>
      <c r="B60" s="590"/>
      <c r="C60" s="667" t="str">
        <f>VLOOKUP(E1,B86:W88,19)</f>
        <v>Total weight in lbs:</v>
      </c>
      <c r="D60" s="666">
        <f>ROUNDUP(Resume!J175,0)</f>
        <v>0</v>
      </c>
      <c r="E60" s="591"/>
      <c r="F60" s="544"/>
      <c r="G60" s="544"/>
      <c r="I60" s="583"/>
      <c r="J60" s="583"/>
    </row>
    <row r="61" spans="1:10" s="546" customFormat="1" ht="5.25" customHeight="1">
      <c r="A61" s="592"/>
      <c r="B61" s="593"/>
      <c r="C61" s="594"/>
      <c r="D61" s="595"/>
      <c r="E61" s="594"/>
      <c r="F61" s="592"/>
      <c r="G61" s="592"/>
      <c r="I61" s="583"/>
      <c r="J61" s="583"/>
    </row>
    <row r="62" spans="1:10" s="546" customFormat="1"/>
    <row r="63" spans="1:10" s="546" customFormat="1"/>
    <row r="64" spans="1:10" s="546" customFormat="1" hidden="1">
      <c r="B64" s="556" t="s">
        <v>42</v>
      </c>
    </row>
    <row r="65" spans="2:6" s="546" customFormat="1" hidden="1">
      <c r="B65" s="546" t="s">
        <v>504</v>
      </c>
      <c r="C65" s="546" t="s">
        <v>439</v>
      </c>
      <c r="D65" s="546">
        <v>3</v>
      </c>
      <c r="E65" s="546" t="s">
        <v>505</v>
      </c>
      <c r="F65" s="596" t="s">
        <v>506</v>
      </c>
    </row>
    <row r="66" spans="2:6" s="546" customFormat="1" hidden="1">
      <c r="B66" s="592" t="s">
        <v>479</v>
      </c>
      <c r="C66" s="546" t="s">
        <v>439</v>
      </c>
      <c r="D66" s="546">
        <v>302</v>
      </c>
      <c r="E66" s="546" t="s">
        <v>43</v>
      </c>
      <c r="F66" s="596" t="s">
        <v>44</v>
      </c>
    </row>
    <row r="67" spans="2:6" s="546" customFormat="1" hidden="1">
      <c r="B67" s="592" t="s">
        <v>635</v>
      </c>
      <c r="C67" s="546" t="s">
        <v>439</v>
      </c>
      <c r="D67" s="546">
        <v>304</v>
      </c>
      <c r="E67" s="597" t="s">
        <v>495</v>
      </c>
      <c r="F67" s="596" t="s">
        <v>47</v>
      </c>
    </row>
    <row r="68" spans="2:6" s="546" customFormat="1" hidden="1">
      <c r="B68" s="546" t="s">
        <v>509</v>
      </c>
      <c r="C68" s="546" t="s">
        <v>439</v>
      </c>
      <c r="D68" s="546">
        <v>306</v>
      </c>
      <c r="E68" s="597" t="s">
        <v>495</v>
      </c>
      <c r="F68" s="596" t="s">
        <v>512</v>
      </c>
    </row>
    <row r="69" spans="2:6" s="546" customFormat="1" hidden="1">
      <c r="B69" s="592" t="s">
        <v>500</v>
      </c>
      <c r="C69" s="546" t="s">
        <v>439</v>
      </c>
      <c r="D69" s="546">
        <v>7</v>
      </c>
      <c r="E69" s="546" t="s">
        <v>501</v>
      </c>
      <c r="F69" s="596" t="s">
        <v>502</v>
      </c>
    </row>
    <row r="70" spans="2:6" s="546" customFormat="1" hidden="1">
      <c r="B70" s="592" t="s">
        <v>50</v>
      </c>
      <c r="C70" s="546" t="s">
        <v>439</v>
      </c>
      <c r="D70" s="546">
        <v>301</v>
      </c>
      <c r="E70" s="546" t="s">
        <v>51</v>
      </c>
      <c r="F70" s="596" t="s">
        <v>52</v>
      </c>
    </row>
    <row r="71" spans="2:6" s="546" customFormat="1" hidden="1">
      <c r="B71" s="592" t="s">
        <v>478</v>
      </c>
      <c r="C71" s="546" t="s">
        <v>439</v>
      </c>
      <c r="D71" s="546">
        <v>9</v>
      </c>
      <c r="E71" s="592" t="s">
        <v>53</v>
      </c>
      <c r="F71" s="598" t="s">
        <v>480</v>
      </c>
    </row>
    <row r="72" spans="2:6" s="546" customFormat="1" hidden="1">
      <c r="B72" s="546" t="s">
        <v>492</v>
      </c>
      <c r="C72" s="546" t="s">
        <v>439</v>
      </c>
      <c r="D72" s="546">
        <v>8</v>
      </c>
      <c r="E72" s="546" t="s">
        <v>493</v>
      </c>
      <c r="F72" s="596" t="s">
        <v>494</v>
      </c>
    </row>
    <row r="73" spans="2:6" s="546" customFormat="1" hidden="1">
      <c r="B73" s="546" t="s">
        <v>508</v>
      </c>
      <c r="C73" s="546" t="s">
        <v>439</v>
      </c>
      <c r="D73" s="546">
        <v>6</v>
      </c>
      <c r="E73" s="546" t="s">
        <v>514</v>
      </c>
      <c r="F73" s="596" t="s">
        <v>513</v>
      </c>
    </row>
    <row r="74" spans="2:6" s="546" customFormat="1" hidden="1">
      <c r="B74" s="546" t="s">
        <v>597</v>
      </c>
      <c r="C74" s="546" t="s">
        <v>439</v>
      </c>
      <c r="D74" s="546">
        <v>4</v>
      </c>
      <c r="E74" s="546" t="s">
        <v>599</v>
      </c>
      <c r="F74" s="596" t="s">
        <v>598</v>
      </c>
    </row>
    <row r="75" spans="2:6" s="546" customFormat="1" hidden="1">
      <c r="B75" s="546" t="s">
        <v>653</v>
      </c>
      <c r="C75" s="546" t="s">
        <v>439</v>
      </c>
      <c r="D75" s="546" t="s">
        <v>665</v>
      </c>
      <c r="E75" s="597" t="s">
        <v>495</v>
      </c>
      <c r="F75" s="680" t="s">
        <v>656</v>
      </c>
    </row>
    <row r="76" spans="2:6" s="546" customFormat="1" hidden="1">
      <c r="B76" s="546" t="s">
        <v>654</v>
      </c>
      <c r="C76" s="546" t="s">
        <v>439</v>
      </c>
      <c r="D76" s="546" t="s">
        <v>664</v>
      </c>
      <c r="E76" s="597" t="s">
        <v>495</v>
      </c>
      <c r="F76" s="680" t="s">
        <v>655</v>
      </c>
    </row>
    <row r="77" spans="2:6" s="546" customFormat="1" hidden="1"/>
    <row r="78" spans="2:6" s="546" customFormat="1" hidden="1">
      <c r="B78" s="556" t="s">
        <v>55</v>
      </c>
    </row>
    <row r="79" spans="2:6" s="546" customFormat="1" hidden="1">
      <c r="B79" s="556"/>
    </row>
    <row r="80" spans="2:6" s="546" customFormat="1" hidden="1">
      <c r="B80" s="546" t="s">
        <v>510</v>
      </c>
      <c r="C80" s="546" t="s">
        <v>56</v>
      </c>
      <c r="D80" s="546" t="s">
        <v>437</v>
      </c>
      <c r="E80" s="546" t="s">
        <v>438</v>
      </c>
    </row>
    <row r="81" spans="2:23" s="546" customFormat="1" hidden="1">
      <c r="B81" s="546" t="s">
        <v>511</v>
      </c>
      <c r="C81" s="546" t="s">
        <v>661</v>
      </c>
      <c r="D81" s="576" t="s">
        <v>662</v>
      </c>
      <c r="E81" s="546" t="s">
        <v>438</v>
      </c>
    </row>
    <row r="82" spans="2:23" s="546" customFormat="1" hidden="1">
      <c r="D82" s="576"/>
    </row>
    <row r="83" spans="2:23" s="546" customFormat="1" hidden="1">
      <c r="D83" s="576"/>
      <c r="E83" s="576"/>
    </row>
    <row r="84" spans="2:23" s="546" customFormat="1" hidden="1"/>
    <row r="85" spans="2:23" s="546" customFormat="1" hidden="1">
      <c r="B85" s="556" t="s">
        <v>109</v>
      </c>
    </row>
    <row r="86" spans="2:23" s="546" customFormat="1" hidden="1"/>
    <row r="87" spans="2:23" s="546" customFormat="1" hidden="1">
      <c r="B87" s="546" t="s">
        <v>39</v>
      </c>
      <c r="C87" s="546" t="s">
        <v>57</v>
      </c>
      <c r="D87" s="546" t="s">
        <v>58</v>
      </c>
      <c r="E87" s="576" t="s">
        <v>452</v>
      </c>
      <c r="F87" s="576" t="s">
        <v>569</v>
      </c>
      <c r="G87" s="576" t="s">
        <v>14</v>
      </c>
      <c r="H87" s="576" t="s">
        <v>451</v>
      </c>
      <c r="I87" s="576" t="s">
        <v>62</v>
      </c>
      <c r="J87" s="576" t="s">
        <v>63</v>
      </c>
      <c r="K87" s="576" t="s">
        <v>600</v>
      </c>
      <c r="L87" s="576" t="s">
        <v>64</v>
      </c>
      <c r="M87" s="576" t="s">
        <v>65</v>
      </c>
      <c r="N87" s="576" t="s">
        <v>66</v>
      </c>
      <c r="O87" s="576" t="s">
        <v>67</v>
      </c>
      <c r="P87" s="576" t="s">
        <v>68</v>
      </c>
      <c r="Q87" s="576" t="s">
        <v>113</v>
      </c>
      <c r="R87" s="576" t="s">
        <v>17</v>
      </c>
      <c r="S87" s="576" t="s">
        <v>70</v>
      </c>
      <c r="T87" s="576" t="s">
        <v>117</v>
      </c>
      <c r="U87" s="546" t="s">
        <v>71</v>
      </c>
      <c r="V87" s="546" t="s">
        <v>72</v>
      </c>
      <c r="W87" s="599" t="s">
        <v>73</v>
      </c>
    </row>
    <row r="88" spans="2:23" s="546" customFormat="1" hidden="1">
      <c r="B88" s="546" t="s">
        <v>74</v>
      </c>
      <c r="C88" s="546" t="s">
        <v>75</v>
      </c>
      <c r="D88" s="546" t="s">
        <v>76</v>
      </c>
      <c r="E88" s="576" t="s">
        <v>77</v>
      </c>
      <c r="F88" s="576" t="s">
        <v>78</v>
      </c>
      <c r="G88" s="576" t="s">
        <v>79</v>
      </c>
      <c r="H88" s="576" t="s">
        <v>61</v>
      </c>
      <c r="I88" s="576" t="s">
        <v>80</v>
      </c>
      <c r="J88" s="576" t="s">
        <v>81</v>
      </c>
      <c r="K88" s="576" t="s">
        <v>82</v>
      </c>
      <c r="L88" s="576" t="s">
        <v>83</v>
      </c>
      <c r="M88" s="576" t="s">
        <v>84</v>
      </c>
      <c r="N88" s="576" t="s">
        <v>85</v>
      </c>
      <c r="O88" s="576" t="s">
        <v>67</v>
      </c>
      <c r="P88" s="576" t="s">
        <v>86</v>
      </c>
      <c r="Q88" s="576" t="s">
        <v>116</v>
      </c>
      <c r="R88" s="576" t="s">
        <v>87</v>
      </c>
      <c r="S88" s="576" t="s">
        <v>70</v>
      </c>
      <c r="T88" s="576" t="s">
        <v>118</v>
      </c>
      <c r="U88" s="576" t="s">
        <v>88</v>
      </c>
      <c r="V88" s="546" t="s">
        <v>89</v>
      </c>
      <c r="W88" s="546" t="s">
        <v>90</v>
      </c>
    </row>
    <row r="89" spans="2:23" s="546" customFormat="1" hidden="1">
      <c r="E89" s="576"/>
      <c r="F89" s="576"/>
      <c r="G89" s="576"/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</row>
    <row r="90" spans="2:23" s="546" customFormat="1" hidden="1">
      <c r="E90" s="576"/>
      <c r="F90" s="576"/>
      <c r="G90" s="576"/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</row>
    <row r="91" spans="2:23" s="546" customFormat="1" hidden="1"/>
    <row r="92" spans="2:23" s="546" customFormat="1" hidden="1"/>
    <row r="93" spans="2:23" s="546" customFormat="1" hidden="1">
      <c r="B93" s="556" t="s">
        <v>65</v>
      </c>
      <c r="E93" s="556" t="s">
        <v>657</v>
      </c>
    </row>
    <row r="94" spans="2:23" s="546" customFormat="1" hidden="1"/>
    <row r="95" spans="2:23" s="546" customFormat="1" hidden="1">
      <c r="B95" s="546" t="s">
        <v>97</v>
      </c>
      <c r="E95" s="546" t="s">
        <v>658</v>
      </c>
    </row>
    <row r="96" spans="2:23" s="546" customFormat="1" hidden="1">
      <c r="B96" s="546" t="s">
        <v>440</v>
      </c>
      <c r="E96" s="546" t="s">
        <v>659</v>
      </c>
    </row>
    <row r="97" spans="2:3" s="546" customFormat="1" hidden="1">
      <c r="B97" s="546" t="s">
        <v>441</v>
      </c>
    </row>
    <row r="98" spans="2:3" s="546" customFormat="1" hidden="1">
      <c r="B98" s="546" t="s">
        <v>98</v>
      </c>
    </row>
    <row r="99" spans="2:3" s="546" customFormat="1" hidden="1">
      <c r="B99" s="546" t="s">
        <v>450</v>
      </c>
    </row>
    <row r="100" spans="2:3" s="546" customFormat="1" hidden="1"/>
    <row r="101" spans="2:3" s="546" customFormat="1" hidden="1"/>
    <row r="102" spans="2:3" s="546" customFormat="1" hidden="1">
      <c r="B102" s="556" t="s">
        <v>70</v>
      </c>
    </row>
    <row r="103" spans="2:3" s="546" customFormat="1" hidden="1">
      <c r="C103" s="600">
        <v>0</v>
      </c>
    </row>
    <row r="104" spans="2:3" s="546" customFormat="1" hidden="1">
      <c r="B104" s="583" t="s">
        <v>4</v>
      </c>
      <c r="C104" s="601">
        <v>0.05</v>
      </c>
    </row>
    <row r="105" spans="2:3" s="546" customFormat="1" hidden="1">
      <c r="B105" s="583" t="s">
        <v>5</v>
      </c>
      <c r="C105" s="601">
        <v>0.05</v>
      </c>
    </row>
    <row r="106" spans="2:3" s="546" customFormat="1" hidden="1">
      <c r="B106" s="583" t="s">
        <v>100</v>
      </c>
      <c r="C106" s="601">
        <v>0.05</v>
      </c>
    </row>
    <row r="107" spans="2:3" s="546" customFormat="1" hidden="1">
      <c r="B107" s="583" t="s">
        <v>101</v>
      </c>
      <c r="C107" s="601">
        <v>0.05</v>
      </c>
    </row>
    <row r="108" spans="2:3" s="546" customFormat="1" hidden="1">
      <c r="B108" s="583" t="s">
        <v>102</v>
      </c>
      <c r="C108" s="601">
        <v>0.13</v>
      </c>
    </row>
    <row r="109" spans="2:3" s="546" customFormat="1" hidden="1">
      <c r="B109" s="583" t="s">
        <v>103</v>
      </c>
      <c r="C109" s="601">
        <v>0.05</v>
      </c>
    </row>
    <row r="110" spans="2:3" s="546" customFormat="1" hidden="1">
      <c r="B110" s="583" t="s">
        <v>104</v>
      </c>
      <c r="C110" s="601">
        <v>0.14974999999999999</v>
      </c>
    </row>
    <row r="111" spans="2:3" s="546" customFormat="1" hidden="1">
      <c r="B111" s="583" t="s">
        <v>105</v>
      </c>
      <c r="C111" s="601">
        <v>0.05</v>
      </c>
    </row>
    <row r="112" spans="2:3" s="546" customFormat="1" hidden="1">
      <c r="B112" s="546" t="s">
        <v>106</v>
      </c>
      <c r="C112" s="600">
        <v>0</v>
      </c>
    </row>
    <row r="113" s="546" customFormat="1"/>
    <row r="114" s="546" customFormat="1"/>
    <row r="115" s="546" customFormat="1"/>
    <row r="116" s="546" customFormat="1"/>
    <row r="117" s="546" customFormat="1"/>
    <row r="118" s="546" customFormat="1"/>
    <row r="119" s="546" customFormat="1"/>
    <row r="120" s="546" customFormat="1"/>
    <row r="121" s="546" customFormat="1"/>
    <row r="122" s="546" customFormat="1"/>
    <row r="123" s="546" customFormat="1"/>
    <row r="124" s="546" customFormat="1"/>
    <row r="125" s="546" customFormat="1"/>
    <row r="126" s="546" customFormat="1"/>
    <row r="127" s="546" customFormat="1"/>
    <row r="128" s="546" customFormat="1"/>
    <row r="129" s="546" customFormat="1"/>
    <row r="130" s="546" customFormat="1"/>
    <row r="131" s="546" customFormat="1"/>
    <row r="132" s="546" customFormat="1"/>
    <row r="133" s="546" customFormat="1"/>
    <row r="134" s="546" customFormat="1"/>
    <row r="135" s="546" customFormat="1"/>
    <row r="136" s="546" customFormat="1"/>
    <row r="137" s="546" customFormat="1"/>
    <row r="138" s="546" customFormat="1"/>
    <row r="139" s="546" customFormat="1"/>
    <row r="140" s="546" customFormat="1"/>
    <row r="141" s="546" customFormat="1"/>
    <row r="142" s="546" customFormat="1"/>
    <row r="143" s="546" customFormat="1"/>
    <row r="144" s="546" customFormat="1"/>
    <row r="145" s="546" customFormat="1"/>
    <row r="146" s="546" customFormat="1"/>
    <row r="147" s="546" customFormat="1"/>
    <row r="148" s="546" customFormat="1"/>
    <row r="149" s="546" customFormat="1"/>
    <row r="150" s="546" customFormat="1"/>
    <row r="151" s="546" customFormat="1"/>
    <row r="152" s="546" customFormat="1"/>
    <row r="153" s="546" customFormat="1"/>
    <row r="154" s="546" customFormat="1"/>
    <row r="155" s="546" customFormat="1"/>
    <row r="156" s="546" customFormat="1"/>
    <row r="157" s="546" customFormat="1"/>
    <row r="158" s="546" customFormat="1"/>
    <row r="159" s="546" customFormat="1"/>
    <row r="160" s="546" customFormat="1"/>
    <row r="161" s="546" customFormat="1"/>
    <row r="162" s="546" customFormat="1"/>
    <row r="163" s="546" customFormat="1"/>
    <row r="164" s="546" customFormat="1"/>
    <row r="165" s="546" customFormat="1"/>
    <row r="166" s="546" customFormat="1"/>
    <row r="167" s="546" customFormat="1"/>
    <row r="168" s="546" customFormat="1"/>
    <row r="169" s="546" customFormat="1"/>
    <row r="170" s="546" customFormat="1"/>
    <row r="171" s="546" customFormat="1"/>
    <row r="172" s="546" customFormat="1"/>
    <row r="173" s="546" customFormat="1"/>
    <row r="174" s="546" customFormat="1"/>
    <row r="175" s="546" customFormat="1"/>
    <row r="176" s="546" customFormat="1"/>
    <row r="177" s="546" customFormat="1"/>
    <row r="178" s="546" customFormat="1"/>
    <row r="179" s="546" customFormat="1"/>
    <row r="180" s="546" customFormat="1"/>
    <row r="181" s="546" customFormat="1"/>
    <row r="182" s="546" customFormat="1"/>
    <row r="183" s="546" customFormat="1"/>
    <row r="184" s="546" customFormat="1"/>
    <row r="185" s="546" customFormat="1"/>
    <row r="186" s="546" customFormat="1"/>
    <row r="187" s="546" customFormat="1"/>
    <row r="188" s="546" customFormat="1"/>
    <row r="189" s="546" customFormat="1"/>
    <row r="190" s="546" customFormat="1"/>
    <row r="191" s="546" customFormat="1"/>
    <row r="192" s="546" customFormat="1"/>
    <row r="193" s="546" customFormat="1"/>
    <row r="194" s="546" customFormat="1"/>
    <row r="195" s="546" customFormat="1"/>
    <row r="196" s="546" customFormat="1"/>
    <row r="197" s="546" customFormat="1"/>
    <row r="198" s="546" customFormat="1"/>
    <row r="199" s="546" customFormat="1"/>
    <row r="200" s="546" customFormat="1"/>
    <row r="201" s="546" customFormat="1"/>
    <row r="202" s="546" customFormat="1"/>
    <row r="203" s="546" customFormat="1"/>
    <row r="204" s="546" customFormat="1"/>
    <row r="205" s="546" customFormat="1"/>
    <row r="206" s="546" customFormat="1"/>
    <row r="207" s="546" customFormat="1"/>
    <row r="208" s="546" customFormat="1"/>
    <row r="209" s="546" customFormat="1"/>
    <row r="210" s="546" customFormat="1"/>
    <row r="211" s="546" customFormat="1"/>
    <row r="212" s="546" customFormat="1"/>
    <row r="213" s="546" customFormat="1"/>
    <row r="214" s="546" customFormat="1"/>
    <row r="215" s="546" customFormat="1"/>
    <row r="216" s="546" customFormat="1"/>
    <row r="217" s="546" customFormat="1"/>
    <row r="218" s="546" customFormat="1"/>
    <row r="219" s="546" customFormat="1"/>
    <row r="220" s="546" customFormat="1"/>
    <row r="221" s="546" customFormat="1"/>
    <row r="222" s="546" customFormat="1"/>
    <row r="223" s="546" customFormat="1"/>
    <row r="224" s="546" customFormat="1"/>
    <row r="225" s="546" customFormat="1"/>
    <row r="226" s="546" customFormat="1"/>
    <row r="227" s="546" customFormat="1"/>
    <row r="228" s="546" customFormat="1"/>
    <row r="229" s="546" customFormat="1"/>
    <row r="230" s="546" customFormat="1"/>
    <row r="231" s="546" customFormat="1"/>
    <row r="232" s="546" customFormat="1"/>
    <row r="233" s="546" customFormat="1"/>
    <row r="234" s="546" customFormat="1"/>
    <row r="235" s="546" customFormat="1"/>
    <row r="236" s="546" customFormat="1"/>
    <row r="237" s="546" customFormat="1"/>
    <row r="238" s="546" customFormat="1"/>
    <row r="239" s="546" customFormat="1"/>
    <row r="240" s="546" customFormat="1"/>
    <row r="241" s="546" customFormat="1"/>
    <row r="242" s="546" customFormat="1"/>
    <row r="243" s="546" customFormat="1"/>
    <row r="244" s="546" customFormat="1"/>
    <row r="245" s="546" customFormat="1"/>
    <row r="246" s="546" customFormat="1"/>
    <row r="247" s="546" customFormat="1"/>
    <row r="248" s="546" customFormat="1"/>
    <row r="249" s="546" customFormat="1"/>
    <row r="250" s="546" customFormat="1"/>
    <row r="251" s="546" customFormat="1"/>
    <row r="252" s="546" customFormat="1"/>
    <row r="253" s="546" customFormat="1"/>
    <row r="254" s="546" customFormat="1"/>
    <row r="255" s="546" customFormat="1"/>
    <row r="256" s="546" customFormat="1"/>
    <row r="257" s="546" customFormat="1"/>
    <row r="258" s="546" customFormat="1"/>
    <row r="259" s="546" customFormat="1"/>
  </sheetData>
  <mergeCells count="45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23:E23"/>
    <mergeCell ref="D24:E24"/>
    <mergeCell ref="D18:E18"/>
    <mergeCell ref="C19:E19"/>
    <mergeCell ref="D20:E20"/>
    <mergeCell ref="D21:E21"/>
    <mergeCell ref="D22:E22"/>
  </mergeCells>
  <conditionalFormatting sqref="B3">
    <cfRule type="expression" dxfId="54" priority="18" stopIfTrue="1">
      <formula>$B$3=0</formula>
    </cfRule>
  </conditionalFormatting>
  <conditionalFormatting sqref="G3">
    <cfRule type="expression" dxfId="53" priority="17" stopIfTrue="1">
      <formula>$G$3=0</formula>
    </cfRule>
  </conditionalFormatting>
  <conditionalFormatting sqref="B8">
    <cfRule type="expression" dxfId="52" priority="15" stopIfTrue="1">
      <formula>$B$8=Nom</formula>
    </cfRule>
  </conditionalFormatting>
  <conditionalFormatting sqref="C8:D8">
    <cfRule type="expression" dxfId="51" priority="14" stopIfTrue="1">
      <formula>$C$8=0</formula>
    </cfRule>
  </conditionalFormatting>
  <conditionalFormatting sqref="C9:D9">
    <cfRule type="expression" dxfId="50" priority="13" stopIfTrue="1">
      <formula>$C$9=0</formula>
    </cfRule>
  </conditionalFormatting>
  <conditionalFormatting sqref="E1:G2">
    <cfRule type="expression" dxfId="49" priority="12" stopIfTrue="1">
      <formula>$E$1=0</formula>
    </cfRule>
  </conditionalFormatting>
  <conditionalFormatting sqref="F57">
    <cfRule type="expression" dxfId="48" priority="11" stopIfTrue="1">
      <formula>$F$57=0</formula>
    </cfRule>
  </conditionalFormatting>
  <conditionalFormatting sqref="B16:D16">
    <cfRule type="expression" dxfId="47" priority="10" stopIfTrue="1">
      <formula>$B$16=0</formula>
    </cfRule>
  </conditionalFormatting>
  <conditionalFormatting sqref="F8">
    <cfRule type="expression" dxfId="46" priority="4">
      <formula>$F$8=0</formula>
    </cfRule>
  </conditionalFormatting>
  <conditionalFormatting sqref="E16:F16">
    <cfRule type="expression" dxfId="45" priority="3">
      <formula>$E$16=0</formula>
    </cfRule>
  </conditionalFormatting>
  <conditionalFormatting sqref="G16">
    <cfRule type="expression" dxfId="44" priority="2">
      <formula>$G$16=0</formula>
    </cfRule>
  </conditionalFormatting>
  <conditionalFormatting sqref="G57:G58">
    <cfRule type="cellIs" dxfId="43" priority="1" operator="notEqual">
      <formula>0</formula>
    </cfRule>
  </conditionalFormatting>
  <dataValidations count="6">
    <dataValidation type="list" allowBlank="1" showInputMessage="1" showErrorMessage="1" sqref="F57">
      <formula1>$B$103:$B$112</formula1>
    </dataValidation>
    <dataValidation type="list" allowBlank="1" showInputMessage="1" showErrorMessage="1" sqref="G16">
      <formula1>$B$94:$B$99</formula1>
    </dataValidation>
    <dataValidation type="list" allowBlank="1" showInputMessage="1" showErrorMessage="1" sqref="E1:G2">
      <formula1>$B$86:$B$88</formula1>
    </dataValidation>
    <dataValidation type="list" allowBlank="1" showInputMessage="1" showErrorMessage="1" sqref="B3">
      <formula1>$B$79:$B$82</formula1>
    </dataValidation>
    <dataValidation type="list" allowBlank="1" showInputMessage="1" showErrorMessage="1" sqref="F8">
      <formula1>$B$65:$B$77</formula1>
    </dataValidation>
    <dataValidation type="list" allowBlank="1" showInputMessage="1" showErrorMessage="1" sqref="B16:D16">
      <formula1>$E$95:$E$96</formula1>
    </dataValidation>
  </dataValidations>
  <hyperlinks>
    <hyperlink ref="F66" r:id="rId1"/>
    <hyperlink ref="F69" r:id="rId2"/>
    <hyperlink ref="F70" r:id="rId3"/>
    <hyperlink ref="F67" r:id="rId4"/>
    <hyperlink ref="F71" r:id="rId5"/>
    <hyperlink ref="F13" r:id="rId6"/>
    <hyperlink ref="F72" r:id="rId7"/>
    <hyperlink ref="F65" r:id="rId8"/>
    <hyperlink ref="F68" r:id="rId9"/>
    <hyperlink ref="F73" r:id="rId10"/>
    <hyperlink ref="F74" r:id="rId11"/>
    <hyperlink ref="F76" r:id="rId12"/>
    <hyperlink ref="F75" r:id="rId13"/>
  </hyperlinks>
  <pageMargins left="0.11811023622047245" right="0.11811023622047245" top="0.35433070866141736" bottom="0.19685039370078741" header="0" footer="0"/>
  <pageSetup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F189"/>
  <sheetViews>
    <sheetView workbookViewId="0">
      <pane ySplit="2" topLeftCell="A3" activePane="bottomLeft" state="frozen"/>
      <selection pane="bottomLeft" activeCell="C146" sqref="C146"/>
    </sheetView>
  </sheetViews>
  <sheetFormatPr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10" width="13.28515625" style="207" customWidth="1"/>
    <col min="11" max="11" width="8.7109375" style="207" bestFit="1" customWidth="1"/>
    <col min="12" max="12" width="7.5703125" style="207" customWidth="1"/>
    <col min="13" max="13" width="11.28515625" style="207" customWidth="1"/>
    <col min="14" max="14" width="17.42578125" style="215" customWidth="1"/>
    <col min="15" max="15" width="29.42578125" style="207" bestFit="1" customWidth="1"/>
    <col min="16" max="16" width="28.5703125" style="207" bestFit="1" customWidth="1"/>
    <col min="17" max="16384" width="8.7109375" style="207"/>
  </cols>
  <sheetData>
    <row r="1" spans="1:16" s="264" customFormat="1" ht="31.5" customHeight="1">
      <c r="C1" s="1139" t="s">
        <v>107</v>
      </c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</row>
    <row r="2" spans="1:16" s="212" customFormat="1" ht="12">
      <c r="A2" s="208" t="s">
        <v>156</v>
      </c>
      <c r="B2" s="208" t="s">
        <v>157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33</v>
      </c>
      <c r="I2" s="209" t="s">
        <v>34</v>
      </c>
      <c r="J2" s="209" t="s">
        <v>442</v>
      </c>
      <c r="K2" s="208" t="s">
        <v>35</v>
      </c>
      <c r="L2" s="208" t="s">
        <v>36</v>
      </c>
      <c r="M2" s="208" t="s">
        <v>37</v>
      </c>
      <c r="N2" s="210" t="s">
        <v>38</v>
      </c>
      <c r="O2" s="211" t="s">
        <v>32</v>
      </c>
      <c r="P2" s="208" t="s">
        <v>110</v>
      </c>
    </row>
    <row r="3" spans="1:16">
      <c r="O3" s="216"/>
    </row>
    <row r="4" spans="1:16" s="400" customFormat="1" ht="12.6" customHeight="1">
      <c r="A4" s="393" t="s">
        <v>162</v>
      </c>
      <c r="B4" s="394" t="s">
        <v>503</v>
      </c>
      <c r="C4" s="395">
        <f>'Order form'!N22</f>
        <v>0</v>
      </c>
      <c r="D4" s="395" t="str">
        <f>'Order form'!D22</f>
        <v>P-96-WH</v>
      </c>
      <c r="E4" s="395" t="s">
        <v>467</v>
      </c>
      <c r="F4" s="396">
        <f>'Order form'!L22</f>
        <v>7.25</v>
      </c>
      <c r="G4" s="396">
        <f>F4*C4</f>
        <v>0</v>
      </c>
      <c r="H4" s="397">
        <v>3.3879999999999999</v>
      </c>
      <c r="I4" s="398">
        <f>C4*H4</f>
        <v>0</v>
      </c>
      <c r="J4" s="398">
        <f>I4*1.1</f>
        <v>0</v>
      </c>
      <c r="K4" s="398" t="s">
        <v>427</v>
      </c>
      <c r="L4" s="398">
        <v>8</v>
      </c>
      <c r="M4" s="398">
        <f>C4/L4</f>
        <v>0</v>
      </c>
      <c r="N4" s="399">
        <f t="shared" ref="N4:N35" si="0">L4*H4</f>
        <v>27.103999999999999</v>
      </c>
      <c r="O4" s="395">
        <f t="shared" ref="O4:O70" si="1">IF(C4=0,O3,O3+1)</f>
        <v>0</v>
      </c>
      <c r="P4" s="1132"/>
    </row>
    <row r="5" spans="1:16" s="400" customFormat="1" ht="12.6" customHeight="1">
      <c r="A5" s="393" t="s">
        <v>162</v>
      </c>
      <c r="B5" s="394" t="s">
        <v>503</v>
      </c>
      <c r="C5" s="395">
        <f>'Order form'!N23</f>
        <v>0</v>
      </c>
      <c r="D5" s="395" t="str">
        <f>'Order form'!D23</f>
        <v>P-96-IV</v>
      </c>
      <c r="E5" s="395" t="s">
        <v>516</v>
      </c>
      <c r="F5" s="396">
        <f>'Order form'!L23</f>
        <v>7.25</v>
      </c>
      <c r="G5" s="396">
        <f t="shared" ref="G5:G68" si="2">F5*C5</f>
        <v>0</v>
      </c>
      <c r="H5" s="397">
        <v>3.3879999999999999</v>
      </c>
      <c r="I5" s="398">
        <f>C5*H5</f>
        <v>0</v>
      </c>
      <c r="J5" s="398">
        <f>I5*1.1</f>
        <v>0</v>
      </c>
      <c r="K5" s="398" t="s">
        <v>427</v>
      </c>
      <c r="L5" s="398">
        <v>8</v>
      </c>
      <c r="M5" s="398">
        <f>C5/L5</f>
        <v>0</v>
      </c>
      <c r="N5" s="399">
        <f t="shared" ref="N5" si="3">L5*H5</f>
        <v>27.103999999999999</v>
      </c>
      <c r="O5" s="395">
        <f t="shared" si="1"/>
        <v>0</v>
      </c>
      <c r="P5" s="1133"/>
    </row>
    <row r="6" spans="1:16" s="400" customFormat="1" ht="12.6" customHeight="1">
      <c r="A6" s="393" t="s">
        <v>162</v>
      </c>
      <c r="B6" s="394" t="s">
        <v>503</v>
      </c>
      <c r="C6" s="395">
        <f>'Order form'!N24</f>
        <v>0</v>
      </c>
      <c r="D6" s="395" t="str">
        <f>'Order form'!D24</f>
        <v>P-96-BL</v>
      </c>
      <c r="E6" s="395" t="s">
        <v>468</v>
      </c>
      <c r="F6" s="396">
        <f>'Order form'!L24</f>
        <v>7.25</v>
      </c>
      <c r="G6" s="396">
        <f t="shared" si="2"/>
        <v>0</v>
      </c>
      <c r="H6" s="397">
        <v>3.3879999999999999</v>
      </c>
      <c r="I6" s="398">
        <f t="shared" ref="I6:I113" si="4">C6*H6</f>
        <v>0</v>
      </c>
      <c r="J6" s="398">
        <f t="shared" ref="J6:J78" si="5">I6*1.1</f>
        <v>0</v>
      </c>
      <c r="K6" s="398" t="s">
        <v>427</v>
      </c>
      <c r="L6" s="398">
        <v>8</v>
      </c>
      <c r="M6" s="398">
        <f t="shared" ref="M6:M113" si="6">C6/L6</f>
        <v>0</v>
      </c>
      <c r="N6" s="399">
        <f t="shared" si="0"/>
        <v>27.103999999999999</v>
      </c>
      <c r="O6" s="395">
        <f t="shared" si="1"/>
        <v>0</v>
      </c>
      <c r="P6" s="1133"/>
    </row>
    <row r="7" spans="1:16" s="400" customFormat="1" ht="12.6" customHeight="1">
      <c r="A7" s="393" t="s">
        <v>162</v>
      </c>
      <c r="B7" s="394" t="s">
        <v>503</v>
      </c>
      <c r="C7" s="395">
        <f>'Order form'!N25</f>
        <v>0</v>
      </c>
      <c r="D7" s="395" t="str">
        <f>'Order form'!D25</f>
        <v>P-96-GR</v>
      </c>
      <c r="E7" s="395" t="s">
        <v>469</v>
      </c>
      <c r="F7" s="396">
        <f>'Order form'!L25</f>
        <v>7.25</v>
      </c>
      <c r="G7" s="396">
        <f t="shared" si="2"/>
        <v>0</v>
      </c>
      <c r="H7" s="397">
        <v>3.3879999999999999</v>
      </c>
      <c r="I7" s="398">
        <f t="shared" si="4"/>
        <v>0</v>
      </c>
      <c r="J7" s="398">
        <f t="shared" si="5"/>
        <v>0</v>
      </c>
      <c r="K7" s="398" t="s">
        <v>427</v>
      </c>
      <c r="L7" s="398">
        <v>8</v>
      </c>
      <c r="M7" s="398">
        <f t="shared" si="6"/>
        <v>0</v>
      </c>
      <c r="N7" s="399">
        <f t="shared" si="0"/>
        <v>27.103999999999999</v>
      </c>
      <c r="O7" s="395">
        <f t="shared" si="1"/>
        <v>0</v>
      </c>
      <c r="P7" s="1133"/>
    </row>
    <row r="8" spans="1:16" s="400" customFormat="1" ht="12.6" customHeight="1">
      <c r="A8" s="393" t="s">
        <v>162</v>
      </c>
      <c r="B8" s="394" t="s">
        <v>503</v>
      </c>
      <c r="C8" s="395">
        <f>'Order form'!N26</f>
        <v>0</v>
      </c>
      <c r="D8" s="395" t="str">
        <f>'Order form'!D26</f>
        <v>P-96-RD</v>
      </c>
      <c r="E8" s="395" t="s">
        <v>470</v>
      </c>
      <c r="F8" s="396">
        <f>'Order form'!L26</f>
        <v>7.25</v>
      </c>
      <c r="G8" s="396">
        <f t="shared" si="2"/>
        <v>0</v>
      </c>
      <c r="H8" s="397">
        <v>3.3879999999999999</v>
      </c>
      <c r="I8" s="398">
        <f t="shared" si="4"/>
        <v>0</v>
      </c>
      <c r="J8" s="398">
        <f t="shared" si="5"/>
        <v>0</v>
      </c>
      <c r="K8" s="398" t="s">
        <v>427</v>
      </c>
      <c r="L8" s="398">
        <v>8</v>
      </c>
      <c r="M8" s="398">
        <f t="shared" si="6"/>
        <v>0</v>
      </c>
      <c r="N8" s="399">
        <f t="shared" si="0"/>
        <v>27.103999999999999</v>
      </c>
      <c r="O8" s="395">
        <f t="shared" si="1"/>
        <v>0</v>
      </c>
      <c r="P8" s="1133"/>
    </row>
    <row r="9" spans="1:16" s="400" customFormat="1" ht="12.6" customHeight="1">
      <c r="A9" s="393" t="s">
        <v>162</v>
      </c>
      <c r="B9" s="394" t="s">
        <v>503</v>
      </c>
      <c r="C9" s="395">
        <f>'Order form'!N27</f>
        <v>0</v>
      </c>
      <c r="D9" s="395" t="str">
        <f>'Order form'!D27</f>
        <v>P-96-OR</v>
      </c>
      <c r="E9" s="395" t="s">
        <v>471</v>
      </c>
      <c r="F9" s="396">
        <f>'Order form'!L27</f>
        <v>7.25</v>
      </c>
      <c r="G9" s="396">
        <f t="shared" si="2"/>
        <v>0</v>
      </c>
      <c r="H9" s="397">
        <v>3.3879999999999999</v>
      </c>
      <c r="I9" s="398">
        <f t="shared" si="4"/>
        <v>0</v>
      </c>
      <c r="J9" s="398">
        <f t="shared" si="5"/>
        <v>0</v>
      </c>
      <c r="K9" s="398" t="s">
        <v>427</v>
      </c>
      <c r="L9" s="398">
        <v>8</v>
      </c>
      <c r="M9" s="398">
        <f t="shared" si="6"/>
        <v>0</v>
      </c>
      <c r="N9" s="399">
        <f t="shared" si="0"/>
        <v>27.103999999999999</v>
      </c>
      <c r="O9" s="395">
        <f t="shared" si="1"/>
        <v>0</v>
      </c>
      <c r="P9" s="1133"/>
    </row>
    <row r="10" spans="1:16" s="400" customFormat="1">
      <c r="A10" s="393" t="s">
        <v>162</v>
      </c>
      <c r="B10" s="394" t="s">
        <v>503</v>
      </c>
      <c r="C10" s="395">
        <f>'Order form'!N28</f>
        <v>0</v>
      </c>
      <c r="D10" s="395" t="str">
        <f>'Order form'!D28</f>
        <v>EP-96-BK</v>
      </c>
      <c r="E10" s="395" t="s">
        <v>472</v>
      </c>
      <c r="F10" s="396">
        <f>'Order form'!L28</f>
        <v>7.25</v>
      </c>
      <c r="G10" s="396">
        <f t="shared" si="2"/>
        <v>0</v>
      </c>
      <c r="H10" s="397">
        <v>3.3879999999999999</v>
      </c>
      <c r="I10" s="398">
        <f t="shared" si="4"/>
        <v>0</v>
      </c>
      <c r="J10" s="398">
        <f t="shared" si="5"/>
        <v>0</v>
      </c>
      <c r="K10" s="398" t="s">
        <v>427</v>
      </c>
      <c r="L10" s="398">
        <v>8</v>
      </c>
      <c r="M10" s="398">
        <f t="shared" si="6"/>
        <v>0</v>
      </c>
      <c r="N10" s="399">
        <f t="shared" si="0"/>
        <v>27.103999999999999</v>
      </c>
      <c r="O10" s="395">
        <f t="shared" si="1"/>
        <v>0</v>
      </c>
      <c r="P10" s="402"/>
    </row>
    <row r="11" spans="1:16" s="400" customFormat="1">
      <c r="A11" s="393" t="s">
        <v>162</v>
      </c>
      <c r="B11" s="394" t="s">
        <v>503</v>
      </c>
      <c r="C11" s="395">
        <f>'Order form'!N29</f>
        <v>0</v>
      </c>
      <c r="D11" s="395" t="str">
        <f>'Order form'!D29</f>
        <v>EP-96-ST</v>
      </c>
      <c r="E11" s="395" t="s">
        <v>483</v>
      </c>
      <c r="F11" s="396">
        <f>'Order form'!L29</f>
        <v>7.25</v>
      </c>
      <c r="G11" s="396">
        <f t="shared" si="2"/>
        <v>0</v>
      </c>
      <c r="H11" s="671">
        <v>2.5099999999999998</v>
      </c>
      <c r="I11" s="398">
        <f t="shared" si="4"/>
        <v>0</v>
      </c>
      <c r="J11" s="398">
        <f t="shared" si="5"/>
        <v>0</v>
      </c>
      <c r="K11" s="398" t="s">
        <v>427</v>
      </c>
      <c r="L11" s="398">
        <v>4</v>
      </c>
      <c r="M11" s="398">
        <f t="shared" si="6"/>
        <v>0</v>
      </c>
      <c r="N11" s="399">
        <f t="shared" si="0"/>
        <v>10.039999999999999</v>
      </c>
      <c r="O11" s="395">
        <f t="shared" si="1"/>
        <v>0</v>
      </c>
      <c r="P11" s="403"/>
    </row>
    <row r="12" spans="1:16" s="400" customFormat="1">
      <c r="A12" s="393" t="s">
        <v>162</v>
      </c>
      <c r="B12" s="394" t="s">
        <v>503</v>
      </c>
      <c r="C12" s="395">
        <f>'Order form'!N30</f>
        <v>0</v>
      </c>
      <c r="D12" s="395" t="str">
        <f>'Order form'!D30</f>
        <v>SP-96-BL</v>
      </c>
      <c r="E12" s="395" t="s">
        <v>517</v>
      </c>
      <c r="F12" s="396">
        <f>'Order form'!L30</f>
        <v>13</v>
      </c>
      <c r="G12" s="396">
        <f t="shared" si="2"/>
        <v>0</v>
      </c>
      <c r="H12" s="671">
        <v>6.5</v>
      </c>
      <c r="I12" s="398">
        <f t="shared" ref="I12" si="7">C12*H12</f>
        <v>0</v>
      </c>
      <c r="J12" s="398">
        <f t="shared" ref="J12" si="8">I12*1.1</f>
        <v>0</v>
      </c>
      <c r="K12" s="398" t="s">
        <v>427</v>
      </c>
      <c r="L12" s="398">
        <v>8</v>
      </c>
      <c r="M12" s="398">
        <f t="shared" si="6"/>
        <v>0</v>
      </c>
      <c r="N12" s="399">
        <f t="shared" ref="N12" si="9">L12*H12</f>
        <v>52</v>
      </c>
      <c r="O12" s="395">
        <f t="shared" si="1"/>
        <v>0</v>
      </c>
      <c r="P12" s="404">
        <f>SUM(G4:G12)</f>
        <v>0</v>
      </c>
    </row>
    <row r="13" spans="1:16" s="226" customFormat="1" ht="12.6" customHeight="1">
      <c r="A13" s="218" t="s">
        <v>162</v>
      </c>
      <c r="B13" s="219" t="s">
        <v>165</v>
      </c>
      <c r="C13" s="220">
        <f>'Order form'!F42</f>
        <v>0</v>
      </c>
      <c r="D13" s="221" t="str">
        <f>'Order form'!D40</f>
        <v>R40-RT96</v>
      </c>
      <c r="E13" s="221" t="str">
        <f>'Order form'!D41</f>
        <v>8' Steel roller track (ESD)</v>
      </c>
      <c r="F13" s="222">
        <f>'Order form'!D42</f>
        <v>20</v>
      </c>
      <c r="G13" s="222">
        <f t="shared" si="2"/>
        <v>0</v>
      </c>
      <c r="H13" s="223">
        <v>5.984</v>
      </c>
      <c r="I13" s="224">
        <f t="shared" si="4"/>
        <v>0</v>
      </c>
      <c r="J13" s="224">
        <f t="shared" si="5"/>
        <v>0</v>
      </c>
      <c r="K13" s="224" t="s">
        <v>427</v>
      </c>
      <c r="L13" s="224">
        <f>'Order form'!G43</f>
        <v>6</v>
      </c>
      <c r="M13" s="224">
        <f t="shared" si="6"/>
        <v>0</v>
      </c>
      <c r="N13" s="225">
        <f t="shared" si="0"/>
        <v>35.903999999999996</v>
      </c>
      <c r="O13" s="395">
        <f t="shared" si="1"/>
        <v>0</v>
      </c>
      <c r="P13" s="1134"/>
    </row>
    <row r="14" spans="1:16" s="226" customFormat="1">
      <c r="A14" s="218" t="s">
        <v>162</v>
      </c>
      <c r="B14" s="219" t="s">
        <v>168</v>
      </c>
      <c r="C14" s="220">
        <f>'Order form'!K42</f>
        <v>0</v>
      </c>
      <c r="D14" s="221" t="str">
        <f>'Order form'!I40</f>
        <v>R40-MS</v>
      </c>
      <c r="E14" s="221" t="str">
        <f>'Order form'!I41</f>
        <v>Track mount start</v>
      </c>
      <c r="F14" s="222">
        <f>'Order form'!I42</f>
        <v>1.4</v>
      </c>
      <c r="G14" s="222">
        <f t="shared" si="2"/>
        <v>0</v>
      </c>
      <c r="H14" s="223">
        <v>0.34100000000000003</v>
      </c>
      <c r="I14" s="224">
        <f t="shared" si="4"/>
        <v>0</v>
      </c>
      <c r="J14" s="224">
        <f t="shared" si="5"/>
        <v>0</v>
      </c>
      <c r="K14" s="224" t="s">
        <v>31</v>
      </c>
      <c r="L14" s="224">
        <f>'Order form'!L43</f>
        <v>30</v>
      </c>
      <c r="M14" s="224">
        <f t="shared" si="6"/>
        <v>0</v>
      </c>
      <c r="N14" s="225">
        <f t="shared" si="0"/>
        <v>10.23</v>
      </c>
      <c r="O14" s="395">
        <f t="shared" si="1"/>
        <v>0</v>
      </c>
      <c r="P14" s="1135"/>
    </row>
    <row r="15" spans="1:16" s="226" customFormat="1">
      <c r="A15" s="218" t="s">
        <v>162</v>
      </c>
      <c r="B15" s="219" t="s">
        <v>168</v>
      </c>
      <c r="C15" s="220">
        <f>'Order form'!P42</f>
        <v>0</v>
      </c>
      <c r="D15" s="221" t="str">
        <f>'Order form'!N40</f>
        <v>R40-TS</v>
      </c>
      <c r="E15" s="221" t="str">
        <f>'Order form'!N41</f>
        <v>Track mount tab stop</v>
      </c>
      <c r="F15" s="222">
        <f>'Order form'!N42</f>
        <v>1.7</v>
      </c>
      <c r="G15" s="222">
        <f t="shared" si="2"/>
        <v>0</v>
      </c>
      <c r="H15" s="223">
        <v>0.44</v>
      </c>
      <c r="I15" s="224">
        <f t="shared" si="4"/>
        <v>0</v>
      </c>
      <c r="J15" s="224">
        <f t="shared" si="5"/>
        <v>0</v>
      </c>
      <c r="K15" s="224" t="s">
        <v>31</v>
      </c>
      <c r="L15" s="224">
        <f>'Order form'!Q43</f>
        <v>30</v>
      </c>
      <c r="M15" s="224">
        <f t="shared" si="6"/>
        <v>0</v>
      </c>
      <c r="N15" s="225">
        <f t="shared" si="0"/>
        <v>13.2</v>
      </c>
      <c r="O15" s="395">
        <f t="shared" si="1"/>
        <v>0</v>
      </c>
      <c r="P15" s="1135"/>
    </row>
    <row r="16" spans="1:16" s="226" customFormat="1">
      <c r="A16" s="218" t="s">
        <v>162</v>
      </c>
      <c r="B16" s="219" t="s">
        <v>168</v>
      </c>
      <c r="C16" s="220">
        <f>'Order form'!F52</f>
        <v>0</v>
      </c>
      <c r="D16" s="221" t="str">
        <f>'Order form'!D50</f>
        <v>R40-TU</v>
      </c>
      <c r="E16" s="221" t="str">
        <f>'Order form'!D51</f>
        <v>Track union</v>
      </c>
      <c r="F16" s="222">
        <f>'Order form'!D52</f>
        <v>2.75</v>
      </c>
      <c r="G16" s="222">
        <f t="shared" si="2"/>
        <v>0</v>
      </c>
      <c r="H16" s="223">
        <v>0.60499999999999998</v>
      </c>
      <c r="I16" s="224">
        <f t="shared" si="4"/>
        <v>0</v>
      </c>
      <c r="J16" s="224">
        <f t="shared" si="5"/>
        <v>0</v>
      </c>
      <c r="K16" s="224" t="s">
        <v>31</v>
      </c>
      <c r="L16" s="224">
        <f>'Order form'!G53</f>
        <v>20</v>
      </c>
      <c r="M16" s="224">
        <f t="shared" si="6"/>
        <v>0</v>
      </c>
      <c r="N16" s="225">
        <f t="shared" si="0"/>
        <v>12.1</v>
      </c>
      <c r="O16" s="395">
        <f t="shared" si="1"/>
        <v>0</v>
      </c>
      <c r="P16" s="1135"/>
    </row>
    <row r="17" spans="1:32" s="226" customFormat="1">
      <c r="A17" s="218" t="s">
        <v>162</v>
      </c>
      <c r="B17" s="219" t="s">
        <v>168</v>
      </c>
      <c r="C17" s="220">
        <f>'Order form'!U42</f>
        <v>0</v>
      </c>
      <c r="D17" s="221" t="str">
        <f>'Order form'!S40</f>
        <v>R40-DS</v>
      </c>
      <c r="E17" s="221" t="str">
        <f>'Order form'!S41</f>
        <v>Track mount drop stop</v>
      </c>
      <c r="F17" s="222">
        <f>'Order form'!S42</f>
        <v>1.7</v>
      </c>
      <c r="G17" s="222">
        <f t="shared" si="2"/>
        <v>0</v>
      </c>
      <c r="H17" s="223">
        <v>0.40150000000000002</v>
      </c>
      <c r="I17" s="224">
        <f t="shared" si="4"/>
        <v>0</v>
      </c>
      <c r="J17" s="224">
        <f t="shared" si="5"/>
        <v>0</v>
      </c>
      <c r="K17" s="224" t="s">
        <v>31</v>
      </c>
      <c r="L17" s="224">
        <f>'Order form'!V43</f>
        <v>25</v>
      </c>
      <c r="M17" s="224">
        <f t="shared" si="6"/>
        <v>0</v>
      </c>
      <c r="N17" s="225">
        <f t="shared" si="0"/>
        <v>10.037500000000001</v>
      </c>
      <c r="O17" s="395">
        <f t="shared" si="1"/>
        <v>0</v>
      </c>
      <c r="P17" s="1135"/>
    </row>
    <row r="18" spans="1:32" s="226" customFormat="1">
      <c r="A18" s="218" t="s">
        <v>162</v>
      </c>
      <c r="B18" s="219" t="s">
        <v>168</v>
      </c>
      <c r="C18" s="220">
        <f>'Order form'!Z42</f>
        <v>0</v>
      </c>
      <c r="D18" s="221" t="str">
        <f>'Order form'!X40</f>
        <v>R40-TC</v>
      </c>
      <c r="E18" s="221" t="str">
        <f>'Order form'!X41</f>
        <v>Track connector</v>
      </c>
      <c r="F18" s="222">
        <f>'Order form'!X42</f>
        <v>1.95</v>
      </c>
      <c r="G18" s="222">
        <f t="shared" si="2"/>
        <v>0</v>
      </c>
      <c r="H18" s="223">
        <v>0.34100000000000003</v>
      </c>
      <c r="I18" s="224">
        <f t="shared" si="4"/>
        <v>0</v>
      </c>
      <c r="J18" s="224">
        <f t="shared" si="5"/>
        <v>0</v>
      </c>
      <c r="K18" s="224" t="s">
        <v>31</v>
      </c>
      <c r="L18" s="224">
        <f>'Order form'!AA43</f>
        <v>40</v>
      </c>
      <c r="M18" s="224">
        <f t="shared" si="6"/>
        <v>0</v>
      </c>
      <c r="N18" s="225">
        <f t="shared" si="0"/>
        <v>13.64</v>
      </c>
      <c r="O18" s="395">
        <f t="shared" si="1"/>
        <v>0</v>
      </c>
      <c r="P18" s="1135"/>
    </row>
    <row r="19" spans="1:32" s="226" customFormat="1">
      <c r="A19" s="218" t="s">
        <v>162</v>
      </c>
      <c r="B19" s="219" t="s">
        <v>168</v>
      </c>
      <c r="C19" s="220">
        <f>'Order form'!K52</f>
        <v>0</v>
      </c>
      <c r="D19" s="221" t="str">
        <f>'Order form'!I50</f>
        <v>R40-CS</v>
      </c>
      <c r="E19" s="221" t="str">
        <f>'Order form'!I51</f>
        <v>Track mount center stabilizer</v>
      </c>
      <c r="F19" s="222">
        <f>'Order form'!I52</f>
        <v>2.25</v>
      </c>
      <c r="G19" s="222">
        <f t="shared" si="2"/>
        <v>0</v>
      </c>
      <c r="H19" s="229">
        <v>0.70399999999999996</v>
      </c>
      <c r="I19" s="224">
        <f t="shared" si="4"/>
        <v>0</v>
      </c>
      <c r="J19" s="224">
        <f t="shared" si="5"/>
        <v>0</v>
      </c>
      <c r="K19" s="224" t="s">
        <v>31</v>
      </c>
      <c r="L19" s="224">
        <f>'Order form'!L53</f>
        <v>20</v>
      </c>
      <c r="M19" s="224">
        <f t="shared" si="6"/>
        <v>0</v>
      </c>
      <c r="N19" s="225">
        <f t="shared" si="0"/>
        <v>14.079999999999998</v>
      </c>
      <c r="O19" s="395">
        <f t="shared" si="1"/>
        <v>0</v>
      </c>
      <c r="P19" s="1135"/>
    </row>
    <row r="20" spans="1:32" s="226" customFormat="1">
      <c r="A20" s="218" t="s">
        <v>162</v>
      </c>
      <c r="B20" s="219" t="s">
        <v>168</v>
      </c>
      <c r="C20" s="220">
        <f>'Order form'!P52</f>
        <v>0</v>
      </c>
      <c r="D20" s="221" t="str">
        <f>'Order form'!N50</f>
        <v>R40-SLOW</v>
      </c>
      <c r="E20" s="221" t="str">
        <f>'Order form'!N51</f>
        <v>Roller stainless decelarator</v>
      </c>
      <c r="F20" s="222">
        <f>'Order form'!N52</f>
        <v>1</v>
      </c>
      <c r="G20" s="222">
        <f t="shared" si="2"/>
        <v>0</v>
      </c>
      <c r="H20" s="229">
        <v>3.1899999999999998E-2</v>
      </c>
      <c r="I20" s="224">
        <f t="shared" si="4"/>
        <v>0</v>
      </c>
      <c r="J20" s="224">
        <f t="shared" si="5"/>
        <v>0</v>
      </c>
      <c r="K20" s="224" t="s">
        <v>31</v>
      </c>
      <c r="L20" s="224">
        <f>'Order form'!Q53</f>
        <v>150</v>
      </c>
      <c r="M20" s="224">
        <f t="shared" si="6"/>
        <v>0</v>
      </c>
      <c r="N20" s="225">
        <f t="shared" si="0"/>
        <v>4.7849999999999993</v>
      </c>
      <c r="O20" s="395">
        <f t="shared" si="1"/>
        <v>0</v>
      </c>
      <c r="P20" s="1135"/>
    </row>
    <row r="21" spans="1:32" s="226" customFormat="1">
      <c r="A21" s="218" t="s">
        <v>162</v>
      </c>
      <c r="B21" s="219" t="s">
        <v>168</v>
      </c>
      <c r="C21" s="220">
        <f>'Order form'!U52</f>
        <v>0</v>
      </c>
      <c r="D21" s="221" t="str">
        <f>'Order form'!S50</f>
        <v>R40-CGUIDE</v>
      </c>
      <c r="E21" s="221" t="str">
        <f>'Order form'!S51</f>
        <v>8' Plastic Center Guide</v>
      </c>
      <c r="F21" s="222">
        <f>'Order form'!S52</f>
        <v>18</v>
      </c>
      <c r="G21" s="222">
        <f t="shared" si="2"/>
        <v>0</v>
      </c>
      <c r="H21" s="223">
        <v>3.74</v>
      </c>
      <c r="I21" s="224">
        <f t="shared" si="4"/>
        <v>0</v>
      </c>
      <c r="J21" s="224">
        <f t="shared" si="5"/>
        <v>0</v>
      </c>
      <c r="K21" s="224" t="s">
        <v>427</v>
      </c>
      <c r="L21" s="224">
        <f>'Order form'!V53</f>
        <v>6</v>
      </c>
      <c r="M21" s="224">
        <f t="shared" si="6"/>
        <v>0</v>
      </c>
      <c r="N21" s="225">
        <f t="shared" si="0"/>
        <v>22.44</v>
      </c>
      <c r="O21" s="395">
        <f t="shared" si="1"/>
        <v>0</v>
      </c>
      <c r="P21" s="1136"/>
    </row>
    <row r="22" spans="1:32" s="226" customFormat="1">
      <c r="A22" s="218" t="s">
        <v>162</v>
      </c>
      <c r="B22" s="219" t="s">
        <v>168</v>
      </c>
      <c r="C22" s="220">
        <f>'Order form'!Z52</f>
        <v>0</v>
      </c>
      <c r="D22" s="221" t="str">
        <f>'Order form'!X50</f>
        <v>R40-GUIDE</v>
      </c>
      <c r="E22" s="221" t="str">
        <f>'Order form'!X51</f>
        <v>8' Plastic roller guide</v>
      </c>
      <c r="F22" s="222">
        <f>'Order form'!X52</f>
        <v>20</v>
      </c>
      <c r="G22" s="222">
        <f t="shared" si="2"/>
        <v>0</v>
      </c>
      <c r="H22" s="223">
        <v>6.1379999999999999</v>
      </c>
      <c r="I22" s="224">
        <f t="shared" si="4"/>
        <v>0</v>
      </c>
      <c r="J22" s="224">
        <f t="shared" si="5"/>
        <v>0</v>
      </c>
      <c r="K22" s="224" t="s">
        <v>427</v>
      </c>
      <c r="L22" s="224">
        <f>'Order form'!AA53</f>
        <v>6</v>
      </c>
      <c r="M22" s="224">
        <f t="shared" si="6"/>
        <v>0</v>
      </c>
      <c r="N22" s="225">
        <f t="shared" si="0"/>
        <v>36.828000000000003</v>
      </c>
      <c r="O22" s="395">
        <f t="shared" si="1"/>
        <v>0</v>
      </c>
      <c r="P22" s="227">
        <f>SUM(G13:G22)</f>
        <v>0</v>
      </c>
    </row>
    <row r="23" spans="1:32" s="400" customFormat="1" ht="12.6" customHeight="1">
      <c r="A23" s="393" t="s">
        <v>162</v>
      </c>
      <c r="B23" s="394" t="s">
        <v>166</v>
      </c>
      <c r="C23" s="395">
        <f>'Order form'!F118*2+'Order form'!F64</f>
        <v>0</v>
      </c>
      <c r="D23" s="395" t="str">
        <f>'Order form'!D63</f>
        <v>H-1</v>
      </c>
      <c r="E23" s="395" t="s">
        <v>473</v>
      </c>
      <c r="F23" s="396">
        <f>'Order form'!D64</f>
        <v>0.55000000000000004</v>
      </c>
      <c r="G23" s="396">
        <f t="shared" si="2"/>
        <v>0</v>
      </c>
      <c r="H23" s="397">
        <v>0.1474</v>
      </c>
      <c r="I23" s="398">
        <f t="shared" si="4"/>
        <v>0</v>
      </c>
      <c r="J23" s="398">
        <f t="shared" si="5"/>
        <v>0</v>
      </c>
      <c r="K23" s="398" t="s">
        <v>31</v>
      </c>
      <c r="L23" s="398">
        <f>'Order form'!G65</f>
        <v>225</v>
      </c>
      <c r="M23" s="398">
        <f t="shared" si="6"/>
        <v>0</v>
      </c>
      <c r="N23" s="399">
        <f t="shared" si="0"/>
        <v>33.164999999999999</v>
      </c>
      <c r="O23" s="395">
        <f t="shared" si="1"/>
        <v>0</v>
      </c>
      <c r="P23" s="417"/>
      <c r="R23" s="405"/>
      <c r="S23" s="406"/>
      <c r="T23" s="406"/>
      <c r="U23" s="406"/>
      <c r="V23" s="407"/>
      <c r="W23" s="406"/>
      <c r="X23" s="406"/>
      <c r="Y23" s="408"/>
      <c r="Z23" s="408"/>
      <c r="AA23" s="406"/>
      <c r="AB23" s="406"/>
      <c r="AC23" s="406"/>
      <c r="AD23" s="406"/>
      <c r="AE23" s="406"/>
      <c r="AF23" s="406"/>
    </row>
    <row r="24" spans="1:32" s="400" customFormat="1" ht="12.4" customHeight="1">
      <c r="A24" s="393" t="s">
        <v>162</v>
      </c>
      <c r="B24" s="394" t="s">
        <v>166</v>
      </c>
      <c r="C24" s="395">
        <f>'Order form'!K64+('Order form'!K118*1)+('Order form'!P118*2)+('Order form'!Z118*4)</f>
        <v>0</v>
      </c>
      <c r="D24" s="395" t="str">
        <f>'Order form'!I63</f>
        <v>H-2</v>
      </c>
      <c r="E24" s="395" t="s">
        <v>473</v>
      </c>
      <c r="F24" s="396">
        <f>'Order form'!I64</f>
        <v>0.92</v>
      </c>
      <c r="G24" s="396">
        <f t="shared" si="2"/>
        <v>0</v>
      </c>
      <c r="H24" s="397">
        <v>0.20680000000000001</v>
      </c>
      <c r="I24" s="398">
        <f t="shared" si="4"/>
        <v>0</v>
      </c>
      <c r="J24" s="398">
        <f t="shared" si="5"/>
        <v>0</v>
      </c>
      <c r="K24" s="398" t="s">
        <v>31</v>
      </c>
      <c r="L24" s="398">
        <f>'Order form'!L65</f>
        <v>150</v>
      </c>
      <c r="M24" s="398">
        <f t="shared" si="6"/>
        <v>0</v>
      </c>
      <c r="N24" s="399">
        <f t="shared" si="0"/>
        <v>31.020000000000003</v>
      </c>
      <c r="O24" s="395">
        <f t="shared" si="1"/>
        <v>0</v>
      </c>
      <c r="P24" s="418"/>
    </row>
    <row r="25" spans="1:32" s="400" customFormat="1" ht="12.4" customHeight="1">
      <c r="A25" s="393" t="s">
        <v>162</v>
      </c>
      <c r="B25" s="394" t="s">
        <v>166</v>
      </c>
      <c r="C25" s="395">
        <f>'Order form'!P64+('Order form'!K118*1)</f>
        <v>0</v>
      </c>
      <c r="D25" s="395" t="str">
        <f>'Order form'!N63</f>
        <v>H-3</v>
      </c>
      <c r="E25" s="395" t="s">
        <v>473</v>
      </c>
      <c r="F25" s="396">
        <f>'Order form'!N64</f>
        <v>0.95</v>
      </c>
      <c r="G25" s="396">
        <f t="shared" si="2"/>
        <v>0</v>
      </c>
      <c r="H25" s="397">
        <v>0.26400000000000001</v>
      </c>
      <c r="I25" s="398">
        <f t="shared" si="4"/>
        <v>0</v>
      </c>
      <c r="J25" s="398">
        <f t="shared" si="5"/>
        <v>0</v>
      </c>
      <c r="K25" s="398" t="s">
        <v>31</v>
      </c>
      <c r="L25" s="398">
        <f>'Order form'!Q65</f>
        <v>60</v>
      </c>
      <c r="M25" s="398">
        <f t="shared" si="6"/>
        <v>0</v>
      </c>
      <c r="N25" s="399">
        <f t="shared" si="0"/>
        <v>15.84</v>
      </c>
      <c r="O25" s="395">
        <f t="shared" si="1"/>
        <v>0</v>
      </c>
      <c r="P25" s="418"/>
    </row>
    <row r="26" spans="1:32" s="400" customFormat="1" ht="12.4" customHeight="1">
      <c r="A26" s="393" t="s">
        <v>162</v>
      </c>
      <c r="B26" s="394" t="s">
        <v>166</v>
      </c>
      <c r="C26" s="395">
        <f>'Order form'!U64+('Order form'!P118*1)+('Order form'!U118*2)</f>
        <v>0</v>
      </c>
      <c r="D26" s="395" t="str">
        <f>'Order form'!S63</f>
        <v>H-4</v>
      </c>
      <c r="E26" s="395" t="s">
        <v>473</v>
      </c>
      <c r="F26" s="396">
        <f>'Order form'!S64</f>
        <v>0.85</v>
      </c>
      <c r="G26" s="396">
        <f t="shared" si="2"/>
        <v>0</v>
      </c>
      <c r="H26" s="397">
        <v>0.23320000000000002</v>
      </c>
      <c r="I26" s="398">
        <f t="shared" si="4"/>
        <v>0</v>
      </c>
      <c r="J26" s="398">
        <f t="shared" si="5"/>
        <v>0</v>
      </c>
      <c r="K26" s="398" t="s">
        <v>31</v>
      </c>
      <c r="L26" s="398">
        <f>'Order form'!V65</f>
        <v>150</v>
      </c>
      <c r="M26" s="398">
        <f t="shared" si="6"/>
        <v>0</v>
      </c>
      <c r="N26" s="399">
        <f t="shared" si="0"/>
        <v>34.980000000000004</v>
      </c>
      <c r="O26" s="395">
        <f t="shared" si="1"/>
        <v>0</v>
      </c>
      <c r="P26" s="418"/>
    </row>
    <row r="27" spans="1:32" s="400" customFormat="1" ht="12.4" customHeight="1">
      <c r="A27" s="393" t="s">
        <v>162</v>
      </c>
      <c r="B27" s="394" t="s">
        <v>166</v>
      </c>
      <c r="C27" s="395">
        <f>'Order form'!Z64+('Order form'!F129*2)</f>
        <v>0</v>
      </c>
      <c r="D27" s="395" t="str">
        <f>'Order form'!X63</f>
        <v>H-5</v>
      </c>
      <c r="E27" s="395" t="s">
        <v>473</v>
      </c>
      <c r="F27" s="396">
        <f>'Order form'!X64</f>
        <v>0.5</v>
      </c>
      <c r="G27" s="396">
        <f t="shared" si="2"/>
        <v>0</v>
      </c>
      <c r="H27" s="397">
        <v>9.9000000000000005E-2</v>
      </c>
      <c r="I27" s="398">
        <f t="shared" si="4"/>
        <v>0</v>
      </c>
      <c r="J27" s="398">
        <f t="shared" si="5"/>
        <v>0</v>
      </c>
      <c r="K27" s="398" t="s">
        <v>31</v>
      </c>
      <c r="L27" s="398">
        <f>'Order form'!AA65</f>
        <v>225</v>
      </c>
      <c r="M27" s="398">
        <f t="shared" si="6"/>
        <v>0</v>
      </c>
      <c r="N27" s="399">
        <f t="shared" si="0"/>
        <v>22.275000000000002</v>
      </c>
      <c r="O27" s="395">
        <f t="shared" si="1"/>
        <v>0</v>
      </c>
      <c r="P27" s="418"/>
    </row>
    <row r="28" spans="1:32" s="400" customFormat="1" ht="12.4" customHeight="1">
      <c r="A28" s="393" t="s">
        <v>162</v>
      </c>
      <c r="B28" s="394" t="s">
        <v>166</v>
      </c>
      <c r="C28" s="395">
        <f>'Order form'!F74+('Order form'!F129*2)+('Order form'!K129*2)+('Order form'!U140*4)</f>
        <v>0</v>
      </c>
      <c r="D28" s="395" t="str">
        <f>'Order form'!D73</f>
        <v>H-6</v>
      </c>
      <c r="E28" s="395" t="s">
        <v>473</v>
      </c>
      <c r="F28" s="396">
        <f>'Order form'!D74</f>
        <v>0.5</v>
      </c>
      <c r="G28" s="396">
        <f t="shared" si="2"/>
        <v>0</v>
      </c>
      <c r="H28" s="397">
        <v>0.1298</v>
      </c>
      <c r="I28" s="398">
        <f t="shared" si="4"/>
        <v>0</v>
      </c>
      <c r="J28" s="398">
        <f t="shared" si="5"/>
        <v>0</v>
      </c>
      <c r="K28" s="398" t="s">
        <v>31</v>
      </c>
      <c r="L28" s="398">
        <f>'Order form'!G75</f>
        <v>225</v>
      </c>
      <c r="M28" s="398">
        <f t="shared" si="6"/>
        <v>0</v>
      </c>
      <c r="N28" s="399">
        <f t="shared" si="0"/>
        <v>29.204999999999998</v>
      </c>
      <c r="O28" s="395">
        <f t="shared" si="1"/>
        <v>0</v>
      </c>
      <c r="P28" s="418"/>
    </row>
    <row r="29" spans="1:32" s="400" customFormat="1" ht="12.4" customHeight="1">
      <c r="A29" s="393" t="s">
        <v>162</v>
      </c>
      <c r="B29" s="394" t="s">
        <v>166</v>
      </c>
      <c r="C29" s="395">
        <f>'Order form'!K74+('Order form'!K129*2)</f>
        <v>0</v>
      </c>
      <c r="D29" s="395" t="str">
        <f>'Order form'!I73</f>
        <v>H-6A</v>
      </c>
      <c r="E29" s="395" t="s">
        <v>473</v>
      </c>
      <c r="F29" s="396">
        <f>'Order form'!I74</f>
        <v>0.95</v>
      </c>
      <c r="G29" s="396">
        <f t="shared" si="2"/>
        <v>0</v>
      </c>
      <c r="H29" s="397">
        <v>0.14520000000000002</v>
      </c>
      <c r="I29" s="398">
        <f t="shared" si="4"/>
        <v>0</v>
      </c>
      <c r="J29" s="398">
        <f t="shared" si="5"/>
        <v>0</v>
      </c>
      <c r="K29" s="398" t="s">
        <v>31</v>
      </c>
      <c r="L29" s="398">
        <f>'Order form'!L75</f>
        <v>180</v>
      </c>
      <c r="M29" s="398">
        <f t="shared" si="6"/>
        <v>0</v>
      </c>
      <c r="N29" s="399">
        <f t="shared" si="0"/>
        <v>26.136000000000003</v>
      </c>
      <c r="O29" s="395">
        <f t="shared" si="1"/>
        <v>0</v>
      </c>
      <c r="P29" s="418"/>
    </row>
    <row r="30" spans="1:32" s="400" customFormat="1" ht="12.4" customHeight="1">
      <c r="A30" s="393" t="s">
        <v>162</v>
      </c>
      <c r="B30" s="394" t="s">
        <v>166</v>
      </c>
      <c r="C30" s="395">
        <f>'Order form'!P74+('Order form'!P129*2)</f>
        <v>0</v>
      </c>
      <c r="D30" s="395" t="str">
        <f>'Order form'!N73</f>
        <v>H-7</v>
      </c>
      <c r="E30" s="395" t="s">
        <v>473</v>
      </c>
      <c r="F30" s="396">
        <f>'Order form'!N74</f>
        <v>0.55000000000000004</v>
      </c>
      <c r="G30" s="396">
        <f t="shared" si="2"/>
        <v>0</v>
      </c>
      <c r="H30" s="397">
        <v>0.10560000000000001</v>
      </c>
      <c r="I30" s="398">
        <f t="shared" si="4"/>
        <v>0</v>
      </c>
      <c r="J30" s="398">
        <f t="shared" si="5"/>
        <v>0</v>
      </c>
      <c r="K30" s="398" t="s">
        <v>31</v>
      </c>
      <c r="L30" s="398">
        <f>'Order form'!Q75</f>
        <v>150</v>
      </c>
      <c r="M30" s="398">
        <f t="shared" si="6"/>
        <v>0</v>
      </c>
      <c r="N30" s="399">
        <f t="shared" si="0"/>
        <v>15.840000000000002</v>
      </c>
      <c r="O30" s="395">
        <f t="shared" si="1"/>
        <v>0</v>
      </c>
      <c r="P30" s="418"/>
    </row>
    <row r="31" spans="1:32" s="400" customFormat="1" ht="12.4" customHeight="1">
      <c r="A31" s="393" t="s">
        <v>162</v>
      </c>
      <c r="B31" s="394" t="s">
        <v>166</v>
      </c>
      <c r="C31" s="395">
        <f>'Order form'!U74+('Order form'!U129*2)</f>
        <v>0</v>
      </c>
      <c r="D31" s="395" t="str">
        <f>'Order form'!S73</f>
        <v>H-7A</v>
      </c>
      <c r="E31" s="395" t="s">
        <v>473</v>
      </c>
      <c r="F31" s="396">
        <f>'Order form'!S74</f>
        <v>0.7</v>
      </c>
      <c r="G31" s="396">
        <f t="shared" si="2"/>
        <v>0</v>
      </c>
      <c r="H31" s="397">
        <v>8.8000000000000009E-2</v>
      </c>
      <c r="I31" s="398">
        <f t="shared" si="4"/>
        <v>0</v>
      </c>
      <c r="J31" s="398">
        <f t="shared" si="5"/>
        <v>0</v>
      </c>
      <c r="K31" s="398" t="s">
        <v>31</v>
      </c>
      <c r="L31" s="398">
        <f>'Order form'!V75</f>
        <v>225</v>
      </c>
      <c r="M31" s="398">
        <f t="shared" si="6"/>
        <v>0</v>
      </c>
      <c r="N31" s="399">
        <f t="shared" si="0"/>
        <v>19.8</v>
      </c>
      <c r="O31" s="395">
        <f t="shared" si="1"/>
        <v>0</v>
      </c>
      <c r="P31" s="418"/>
    </row>
    <row r="32" spans="1:32" s="400" customFormat="1" ht="12.4" customHeight="1">
      <c r="A32" s="393" t="s">
        <v>162</v>
      </c>
      <c r="B32" s="394" t="s">
        <v>166</v>
      </c>
      <c r="C32" s="395">
        <f>'Order form'!Z74+('Order form'!Z129*1)</f>
        <v>0</v>
      </c>
      <c r="D32" s="395" t="str">
        <f>'Order form'!X73</f>
        <v>H-8</v>
      </c>
      <c r="E32" s="395" t="s">
        <v>473</v>
      </c>
      <c r="F32" s="396">
        <f>'Order form'!X74</f>
        <v>0.9</v>
      </c>
      <c r="G32" s="396">
        <f t="shared" si="2"/>
        <v>0</v>
      </c>
      <c r="H32" s="397">
        <v>0.14740000000000003</v>
      </c>
      <c r="I32" s="398">
        <f t="shared" si="4"/>
        <v>0</v>
      </c>
      <c r="J32" s="398">
        <f t="shared" si="5"/>
        <v>0</v>
      </c>
      <c r="K32" s="398" t="s">
        <v>31</v>
      </c>
      <c r="L32" s="398">
        <f>'Order form'!AA75</f>
        <v>180</v>
      </c>
      <c r="M32" s="398">
        <f t="shared" si="6"/>
        <v>0</v>
      </c>
      <c r="N32" s="399">
        <f t="shared" si="0"/>
        <v>26.532000000000007</v>
      </c>
      <c r="O32" s="395">
        <f t="shared" si="1"/>
        <v>0</v>
      </c>
      <c r="P32" s="418"/>
    </row>
    <row r="33" spans="1:16" s="400" customFormat="1" ht="12.4" customHeight="1">
      <c r="A33" s="393" t="s">
        <v>162</v>
      </c>
      <c r="B33" s="394" t="s">
        <v>166</v>
      </c>
      <c r="C33" s="395">
        <f>'Order form'!F84+('Order form'!Z129*1)+('Order form'!F140*2)</f>
        <v>0</v>
      </c>
      <c r="D33" s="395" t="str">
        <f>'Order form'!D83</f>
        <v>H-9</v>
      </c>
      <c r="E33" s="395" t="s">
        <v>473</v>
      </c>
      <c r="F33" s="396">
        <f>'Order form'!D84</f>
        <v>0.9</v>
      </c>
      <c r="G33" s="396">
        <f t="shared" si="2"/>
        <v>0</v>
      </c>
      <c r="H33" s="397">
        <v>0.13640000000000002</v>
      </c>
      <c r="I33" s="398">
        <f t="shared" si="4"/>
        <v>0</v>
      </c>
      <c r="J33" s="398">
        <f t="shared" si="5"/>
        <v>0</v>
      </c>
      <c r="K33" s="398" t="s">
        <v>31</v>
      </c>
      <c r="L33" s="398">
        <f>'Order form'!G85</f>
        <v>245</v>
      </c>
      <c r="M33" s="398">
        <f t="shared" si="6"/>
        <v>0</v>
      </c>
      <c r="N33" s="399">
        <f t="shared" si="0"/>
        <v>33.418000000000006</v>
      </c>
      <c r="O33" s="395">
        <f t="shared" si="1"/>
        <v>0</v>
      </c>
      <c r="P33" s="418"/>
    </row>
    <row r="34" spans="1:16" s="400" customFormat="1" ht="12.4" customHeight="1">
      <c r="A34" s="393" t="s">
        <v>162</v>
      </c>
      <c r="B34" s="394" t="s">
        <v>166</v>
      </c>
      <c r="C34" s="395">
        <f>'Order form'!K84+('Order form'!K140*2)</f>
        <v>0</v>
      </c>
      <c r="D34" s="395" t="str">
        <f>'Order form'!I83</f>
        <v>H-12</v>
      </c>
      <c r="E34" s="395" t="s">
        <v>473</v>
      </c>
      <c r="F34" s="396">
        <f>'Order form'!I84</f>
        <v>0.75</v>
      </c>
      <c r="G34" s="396">
        <f t="shared" si="2"/>
        <v>0</v>
      </c>
      <c r="H34" s="397">
        <v>0.1386</v>
      </c>
      <c r="I34" s="398">
        <f t="shared" si="4"/>
        <v>0</v>
      </c>
      <c r="J34" s="398">
        <f t="shared" si="5"/>
        <v>0</v>
      </c>
      <c r="K34" s="398" t="s">
        <v>31</v>
      </c>
      <c r="L34" s="398">
        <f>'Order form'!L85</f>
        <v>180</v>
      </c>
      <c r="M34" s="398">
        <f t="shared" si="6"/>
        <v>0</v>
      </c>
      <c r="N34" s="399">
        <f t="shared" si="0"/>
        <v>24.948</v>
      </c>
      <c r="O34" s="395">
        <f t="shared" si="1"/>
        <v>0</v>
      </c>
      <c r="P34" s="418"/>
    </row>
    <row r="35" spans="1:16" s="400" customFormat="1" ht="12.4" customHeight="1">
      <c r="A35" s="393" t="s">
        <v>162</v>
      </c>
      <c r="B35" s="394" t="s">
        <v>166</v>
      </c>
      <c r="C35" s="395">
        <f>'Order form'!P84+('Order form'!P140*2)</f>
        <v>0</v>
      </c>
      <c r="D35" s="395" t="str">
        <f>'Order form'!N83</f>
        <v>H-13</v>
      </c>
      <c r="E35" s="395" t="s">
        <v>473</v>
      </c>
      <c r="F35" s="396">
        <f>'Order form'!N84</f>
        <v>0.69</v>
      </c>
      <c r="G35" s="396">
        <f t="shared" si="2"/>
        <v>0</v>
      </c>
      <c r="H35" s="397">
        <v>0.11660000000000001</v>
      </c>
      <c r="I35" s="398">
        <f t="shared" si="4"/>
        <v>0</v>
      </c>
      <c r="J35" s="398">
        <f t="shared" si="5"/>
        <v>0</v>
      </c>
      <c r="K35" s="398" t="s">
        <v>31</v>
      </c>
      <c r="L35" s="398">
        <f>'Order form'!Q85</f>
        <v>225</v>
      </c>
      <c r="M35" s="398">
        <f t="shared" si="6"/>
        <v>0</v>
      </c>
      <c r="N35" s="399">
        <f t="shared" si="0"/>
        <v>26.235000000000003</v>
      </c>
      <c r="O35" s="395">
        <f t="shared" si="1"/>
        <v>0</v>
      </c>
      <c r="P35" s="418"/>
    </row>
    <row r="36" spans="1:16" s="400" customFormat="1" ht="12.4" customHeight="1">
      <c r="A36" s="393" t="s">
        <v>162</v>
      </c>
      <c r="B36" s="394" t="s">
        <v>166</v>
      </c>
      <c r="C36" s="395">
        <f>'Order form'!U84+('Order form'!U140*2)</f>
        <v>0</v>
      </c>
      <c r="D36" s="395" t="str">
        <f>'Order form'!S83</f>
        <v>H-14</v>
      </c>
      <c r="E36" s="395" t="s">
        <v>473</v>
      </c>
      <c r="F36" s="396">
        <f>'Order form'!S84</f>
        <v>0.8</v>
      </c>
      <c r="G36" s="396">
        <f t="shared" si="2"/>
        <v>0</v>
      </c>
      <c r="H36" s="397">
        <v>0.12320000000000002</v>
      </c>
      <c r="I36" s="398">
        <f t="shared" si="4"/>
        <v>0</v>
      </c>
      <c r="J36" s="398">
        <f t="shared" si="5"/>
        <v>0</v>
      </c>
      <c r="K36" s="398" t="s">
        <v>31</v>
      </c>
      <c r="L36" s="398">
        <f>'Order form'!V85</f>
        <v>240</v>
      </c>
      <c r="M36" s="398">
        <f t="shared" si="6"/>
        <v>0</v>
      </c>
      <c r="N36" s="399">
        <f t="shared" ref="N36:N44" si="10">L36*H36</f>
        <v>29.568000000000005</v>
      </c>
      <c r="O36" s="395">
        <f t="shared" si="1"/>
        <v>0</v>
      </c>
      <c r="P36" s="418"/>
    </row>
    <row r="37" spans="1:16" s="400" customFormat="1" ht="12.4" customHeight="1">
      <c r="A37" s="393" t="s">
        <v>162</v>
      </c>
      <c r="B37" s="394" t="s">
        <v>166</v>
      </c>
      <c r="C37" s="395">
        <f>'Order form'!Z84+('Order form'!Z140*1)</f>
        <v>0</v>
      </c>
      <c r="D37" s="395" t="str">
        <f>'Order form'!X83</f>
        <v>H-15</v>
      </c>
      <c r="E37" s="395" t="s">
        <v>473</v>
      </c>
      <c r="F37" s="396">
        <f>'Order form'!X84</f>
        <v>0.75</v>
      </c>
      <c r="G37" s="396">
        <f t="shared" si="2"/>
        <v>0</v>
      </c>
      <c r="H37" s="397">
        <v>8.3600000000000008E-2</v>
      </c>
      <c r="I37" s="398">
        <f t="shared" si="4"/>
        <v>0</v>
      </c>
      <c r="J37" s="398">
        <f t="shared" si="5"/>
        <v>0</v>
      </c>
      <c r="K37" s="398" t="s">
        <v>31</v>
      </c>
      <c r="L37" s="398">
        <f>'Order form'!AA85</f>
        <v>300</v>
      </c>
      <c r="M37" s="398">
        <f t="shared" si="6"/>
        <v>0</v>
      </c>
      <c r="N37" s="399">
        <f t="shared" si="10"/>
        <v>25.080000000000002</v>
      </c>
      <c r="O37" s="395">
        <f t="shared" si="1"/>
        <v>0</v>
      </c>
      <c r="P37" s="418"/>
    </row>
    <row r="38" spans="1:16" s="400" customFormat="1" ht="12.4" customHeight="1">
      <c r="A38" s="393" t="s">
        <v>162</v>
      </c>
      <c r="B38" s="394" t="s">
        <v>166</v>
      </c>
      <c r="C38" s="395">
        <f>'Order form'!F94+('Order form'!Z140*1)</f>
        <v>0</v>
      </c>
      <c r="D38" s="395" t="str">
        <f>'Order form'!D93</f>
        <v>H-16</v>
      </c>
      <c r="E38" s="395" t="s">
        <v>473</v>
      </c>
      <c r="F38" s="396">
        <f>'Order form'!D94</f>
        <v>0.75</v>
      </c>
      <c r="G38" s="396">
        <f t="shared" si="2"/>
        <v>0</v>
      </c>
      <c r="H38" s="397">
        <v>0.10120000000000001</v>
      </c>
      <c r="I38" s="398">
        <f t="shared" si="4"/>
        <v>0</v>
      </c>
      <c r="J38" s="398">
        <f t="shared" si="5"/>
        <v>0</v>
      </c>
      <c r="K38" s="398" t="s">
        <v>31</v>
      </c>
      <c r="L38" s="398">
        <f>'Order form'!G95</f>
        <v>300</v>
      </c>
      <c r="M38" s="398">
        <f t="shared" si="6"/>
        <v>0</v>
      </c>
      <c r="N38" s="399">
        <f t="shared" si="10"/>
        <v>30.360000000000003</v>
      </c>
      <c r="O38" s="395">
        <f t="shared" si="1"/>
        <v>0</v>
      </c>
      <c r="P38" s="418"/>
    </row>
    <row r="39" spans="1:16" s="400" customFormat="1" ht="12" customHeight="1">
      <c r="A39" s="393" t="s">
        <v>162</v>
      </c>
      <c r="B39" s="394" t="s">
        <v>166</v>
      </c>
      <c r="C39" s="395">
        <f>'Order form'!K94+('Order form'!F151*1)</f>
        <v>0</v>
      </c>
      <c r="D39" s="395" t="str">
        <f>'Order form'!I93</f>
        <v>H-17</v>
      </c>
      <c r="E39" s="395" t="s">
        <v>473</v>
      </c>
      <c r="F39" s="396">
        <f>'Order form'!I94</f>
        <v>0.7</v>
      </c>
      <c r="G39" s="396">
        <f t="shared" si="2"/>
        <v>0</v>
      </c>
      <c r="H39" s="397">
        <v>0.15180000000000002</v>
      </c>
      <c r="I39" s="398">
        <f t="shared" si="4"/>
        <v>0</v>
      </c>
      <c r="J39" s="398">
        <f t="shared" si="5"/>
        <v>0</v>
      </c>
      <c r="K39" s="398" t="s">
        <v>31</v>
      </c>
      <c r="L39" s="398">
        <f>'Order form'!L95</f>
        <v>145</v>
      </c>
      <c r="M39" s="398">
        <f t="shared" si="6"/>
        <v>0</v>
      </c>
      <c r="N39" s="399">
        <f t="shared" si="10"/>
        <v>22.011000000000003</v>
      </c>
      <c r="O39" s="395">
        <f t="shared" si="1"/>
        <v>0</v>
      </c>
      <c r="P39" s="418"/>
    </row>
    <row r="40" spans="1:16" s="400" customFormat="1" ht="12" customHeight="1">
      <c r="A40" s="393" t="s">
        <v>162</v>
      </c>
      <c r="B40" s="394" t="s">
        <v>166</v>
      </c>
      <c r="C40" s="395">
        <f>'Order form'!P94+('Order form'!F151*1)</f>
        <v>0</v>
      </c>
      <c r="D40" s="395" t="str">
        <f>'Order form'!N93</f>
        <v>H-18</v>
      </c>
      <c r="E40" s="395" t="s">
        <v>473</v>
      </c>
      <c r="F40" s="396">
        <f>'Order form'!N94</f>
        <v>0.7</v>
      </c>
      <c r="G40" s="396">
        <f t="shared" si="2"/>
        <v>0</v>
      </c>
      <c r="H40" s="397">
        <v>0.15180000000000002</v>
      </c>
      <c r="I40" s="398">
        <f t="shared" si="4"/>
        <v>0</v>
      </c>
      <c r="J40" s="398">
        <f t="shared" si="5"/>
        <v>0</v>
      </c>
      <c r="K40" s="398" t="s">
        <v>31</v>
      </c>
      <c r="L40" s="398">
        <f>'Order form'!Q95</f>
        <v>145</v>
      </c>
      <c r="M40" s="398">
        <f t="shared" si="6"/>
        <v>0</v>
      </c>
      <c r="N40" s="399">
        <f t="shared" si="10"/>
        <v>22.011000000000003</v>
      </c>
      <c r="O40" s="395">
        <f t="shared" si="1"/>
        <v>0</v>
      </c>
      <c r="P40" s="418"/>
    </row>
    <row r="41" spans="1:16" s="400" customFormat="1" ht="12" customHeight="1">
      <c r="A41" s="393" t="s">
        <v>162</v>
      </c>
      <c r="B41" s="394" t="s">
        <v>166</v>
      </c>
      <c r="C41" s="395">
        <f>'Order form'!U94+('Order form'!K151*2)</f>
        <v>0</v>
      </c>
      <c r="D41" s="395" t="str">
        <f>'Order form'!S93</f>
        <v>H-19</v>
      </c>
      <c r="E41" s="395" t="s">
        <v>473</v>
      </c>
      <c r="F41" s="396">
        <f>'Order form'!S94</f>
        <v>0.8</v>
      </c>
      <c r="G41" s="396">
        <f t="shared" si="2"/>
        <v>0</v>
      </c>
      <c r="H41" s="397">
        <v>0.13640000000000002</v>
      </c>
      <c r="I41" s="398">
        <f t="shared" si="4"/>
        <v>0</v>
      </c>
      <c r="J41" s="398">
        <f t="shared" si="5"/>
        <v>0</v>
      </c>
      <c r="K41" s="398" t="s">
        <v>31</v>
      </c>
      <c r="L41" s="398">
        <f>'Order form'!V95</f>
        <v>100</v>
      </c>
      <c r="M41" s="398">
        <f t="shared" si="6"/>
        <v>0</v>
      </c>
      <c r="N41" s="399">
        <f t="shared" si="10"/>
        <v>13.640000000000002</v>
      </c>
      <c r="O41" s="395">
        <f t="shared" si="1"/>
        <v>0</v>
      </c>
      <c r="P41" s="418"/>
    </row>
    <row r="42" spans="1:16" s="400" customFormat="1" ht="12" customHeight="1">
      <c r="A42" s="393" t="s">
        <v>162</v>
      </c>
      <c r="B42" s="394" t="s">
        <v>166</v>
      </c>
      <c r="C42" s="395">
        <f>'Order form'!Z94+('Order form'!P151*2)</f>
        <v>0</v>
      </c>
      <c r="D42" s="395" t="str">
        <f>'Order form'!X93</f>
        <v>H-90</v>
      </c>
      <c r="E42" s="395" t="s">
        <v>473</v>
      </c>
      <c r="F42" s="396">
        <f>'Order form'!X94</f>
        <v>0.8</v>
      </c>
      <c r="G42" s="396">
        <f t="shared" si="2"/>
        <v>0</v>
      </c>
      <c r="H42" s="397">
        <v>0.22440000000000002</v>
      </c>
      <c r="I42" s="398">
        <f>C42*H42</f>
        <v>0</v>
      </c>
      <c r="J42" s="398">
        <f t="shared" si="5"/>
        <v>0</v>
      </c>
      <c r="K42" s="398" t="s">
        <v>31</v>
      </c>
      <c r="L42" s="398">
        <f>'Order form'!AA95</f>
        <v>100</v>
      </c>
      <c r="M42" s="398">
        <f t="shared" si="6"/>
        <v>0</v>
      </c>
      <c r="N42" s="399">
        <f t="shared" si="10"/>
        <v>22.44</v>
      </c>
      <c r="O42" s="395">
        <f t="shared" si="1"/>
        <v>0</v>
      </c>
      <c r="P42" s="418"/>
    </row>
    <row r="43" spans="1:16" s="400" customFormat="1" ht="12" customHeight="1">
      <c r="A43" s="393" t="s">
        <v>162</v>
      </c>
      <c r="B43" s="394" t="s">
        <v>166</v>
      </c>
      <c r="C43" s="395">
        <f>'Order form'!F104</f>
        <v>0</v>
      </c>
      <c r="D43" s="395" t="str">
        <f>'Order form'!D103</f>
        <v>HJ-MS</v>
      </c>
      <c r="E43" s="395" t="s">
        <v>567</v>
      </c>
      <c r="F43" s="396">
        <f>'Order form'!D104</f>
        <v>1.55</v>
      </c>
      <c r="G43" s="396">
        <f t="shared" si="2"/>
        <v>0</v>
      </c>
      <c r="H43" s="397">
        <v>0.28160000000000002</v>
      </c>
      <c r="I43" s="398">
        <f>C43*H43</f>
        <v>0</v>
      </c>
      <c r="J43" s="398">
        <f t="shared" si="5"/>
        <v>0</v>
      </c>
      <c r="K43" s="398" t="s">
        <v>31</v>
      </c>
      <c r="L43" s="398">
        <f>'Order form'!G105</f>
        <v>72</v>
      </c>
      <c r="M43" s="398">
        <f t="shared" si="6"/>
        <v>0</v>
      </c>
      <c r="N43" s="399">
        <f t="shared" si="10"/>
        <v>20.275200000000002</v>
      </c>
      <c r="O43" s="395">
        <f t="shared" si="1"/>
        <v>0</v>
      </c>
      <c r="P43" s="418"/>
    </row>
    <row r="44" spans="1:16" s="400" customFormat="1" ht="12" customHeight="1">
      <c r="A44" s="393" t="s">
        <v>162</v>
      </c>
      <c r="B44" s="394" t="s">
        <v>166</v>
      </c>
      <c r="C44" s="395">
        <f>'Order form'!K104</f>
        <v>0</v>
      </c>
      <c r="D44" s="395" t="str">
        <f>'Order form'!I103</f>
        <v>HJ-DS</v>
      </c>
      <c r="E44" s="395" t="s">
        <v>567</v>
      </c>
      <c r="F44" s="396">
        <f>'Order form'!I104</f>
        <v>1.65</v>
      </c>
      <c r="G44" s="396">
        <f t="shared" si="2"/>
        <v>0</v>
      </c>
      <c r="H44" s="397">
        <v>0.31900000000000001</v>
      </c>
      <c r="I44" s="398">
        <f>C44*H44</f>
        <v>0</v>
      </c>
      <c r="J44" s="398">
        <f t="shared" si="5"/>
        <v>0</v>
      </c>
      <c r="K44" s="398" t="s">
        <v>31</v>
      </c>
      <c r="L44" s="398">
        <f>'Order form'!L105</f>
        <v>60</v>
      </c>
      <c r="M44" s="398">
        <f t="shared" si="6"/>
        <v>0</v>
      </c>
      <c r="N44" s="399">
        <f t="shared" si="10"/>
        <v>19.14</v>
      </c>
      <c r="O44" s="395">
        <f t="shared" si="1"/>
        <v>0</v>
      </c>
      <c r="P44" s="675">
        <f>SUM(G23:G44)</f>
        <v>0</v>
      </c>
    </row>
    <row r="45" spans="1:16" s="226" customFormat="1" ht="12" customHeight="1">
      <c r="A45" s="218"/>
      <c r="B45" s="219"/>
      <c r="C45" s="221"/>
      <c r="D45" s="221" t="str">
        <f>'Order form'!D115</f>
        <v>HJ-1</v>
      </c>
      <c r="E45" s="221" t="str">
        <f>'Order form'!D117</f>
        <v>2 ways joint</v>
      </c>
      <c r="F45" s="228">
        <f>'Order form'!D118</f>
        <v>1.2300000000000002</v>
      </c>
      <c r="G45" s="222">
        <f t="shared" si="2"/>
        <v>0</v>
      </c>
      <c r="H45" s="223"/>
      <c r="I45" s="224"/>
      <c r="J45" s="224">
        <f t="shared" si="5"/>
        <v>0</v>
      </c>
      <c r="K45" s="224" t="s">
        <v>429</v>
      </c>
      <c r="L45" s="224"/>
      <c r="M45" s="224"/>
      <c r="N45" s="225"/>
      <c r="O45" s="395">
        <f t="shared" si="1"/>
        <v>0</v>
      </c>
      <c r="P45" s="426"/>
    </row>
    <row r="46" spans="1:16" s="226" customFormat="1" ht="12" customHeight="1">
      <c r="A46" s="218"/>
      <c r="B46" s="219"/>
      <c r="C46" s="221"/>
      <c r="D46" s="221" t="str">
        <f>'Order form'!I115</f>
        <v>HJ-2</v>
      </c>
      <c r="E46" s="221" t="str">
        <f>'Order form'!I117</f>
        <v>4 ways corner joint</v>
      </c>
      <c r="F46" s="228">
        <f>'Order form'!I118</f>
        <v>2.1300000000000003</v>
      </c>
      <c r="G46" s="222">
        <f t="shared" si="2"/>
        <v>0</v>
      </c>
      <c r="H46" s="223"/>
      <c r="I46" s="224"/>
      <c r="J46" s="224">
        <f t="shared" si="5"/>
        <v>0</v>
      </c>
      <c r="K46" s="224" t="s">
        <v>429</v>
      </c>
      <c r="L46" s="224"/>
      <c r="M46" s="224"/>
      <c r="N46" s="225"/>
      <c r="O46" s="395">
        <f t="shared" si="1"/>
        <v>0</v>
      </c>
      <c r="P46" s="426"/>
    </row>
    <row r="47" spans="1:16" s="226" customFormat="1" ht="12" customHeight="1">
      <c r="A47" s="218"/>
      <c r="B47" s="219"/>
      <c r="C47" s="221"/>
      <c r="D47" s="221" t="str">
        <f>'Order form'!N115</f>
        <v>HJ-3</v>
      </c>
      <c r="E47" s="221" t="str">
        <f>'Order form'!N117</f>
        <v>5 ways joint</v>
      </c>
      <c r="F47" s="228">
        <f>'Order form'!N118</f>
        <v>3.08</v>
      </c>
      <c r="G47" s="222">
        <f t="shared" si="2"/>
        <v>0</v>
      </c>
      <c r="H47" s="223"/>
      <c r="I47" s="224"/>
      <c r="J47" s="224">
        <f t="shared" si="5"/>
        <v>0</v>
      </c>
      <c r="K47" s="224" t="s">
        <v>429</v>
      </c>
      <c r="L47" s="224"/>
      <c r="M47" s="224"/>
      <c r="N47" s="225"/>
      <c r="O47" s="395">
        <f t="shared" si="1"/>
        <v>0</v>
      </c>
      <c r="P47" s="426"/>
    </row>
    <row r="48" spans="1:16" s="226" customFormat="1" ht="12" customHeight="1">
      <c r="A48" s="218"/>
      <c r="B48" s="219"/>
      <c r="C48" s="221"/>
      <c r="D48" s="221" t="str">
        <f>'Order form'!S115</f>
        <v>HJ-4</v>
      </c>
      <c r="E48" s="221" t="str">
        <f>'Order form'!S117</f>
        <v>4 ways joint</v>
      </c>
      <c r="F48" s="228">
        <f>'Order form'!S118</f>
        <v>1.96</v>
      </c>
      <c r="G48" s="222">
        <f t="shared" si="2"/>
        <v>0</v>
      </c>
      <c r="H48" s="223"/>
      <c r="I48" s="224"/>
      <c r="J48" s="224">
        <f t="shared" si="5"/>
        <v>0</v>
      </c>
      <c r="K48" s="224" t="s">
        <v>429</v>
      </c>
      <c r="L48" s="224"/>
      <c r="M48" s="224"/>
      <c r="N48" s="225"/>
      <c r="O48" s="395">
        <f t="shared" si="1"/>
        <v>0</v>
      </c>
      <c r="P48" s="426"/>
    </row>
    <row r="49" spans="1:16" s="226" customFormat="1" ht="12" customHeight="1">
      <c r="A49" s="218"/>
      <c r="B49" s="219"/>
      <c r="C49" s="221"/>
      <c r="D49" s="221" t="str">
        <f>'Order form'!X115</f>
        <v>HJ-5</v>
      </c>
      <c r="E49" s="221" t="str">
        <f>'Order form'!X117</f>
        <v>6 ways joint</v>
      </c>
      <c r="F49" s="228">
        <f>'Order form'!X118</f>
        <v>4.2</v>
      </c>
      <c r="G49" s="222">
        <f t="shared" si="2"/>
        <v>0</v>
      </c>
      <c r="H49" s="223"/>
      <c r="I49" s="224"/>
      <c r="J49" s="224">
        <f t="shared" si="5"/>
        <v>0</v>
      </c>
      <c r="K49" s="224" t="s">
        <v>429</v>
      </c>
      <c r="L49" s="224"/>
      <c r="M49" s="224"/>
      <c r="N49" s="225"/>
      <c r="O49" s="395">
        <f t="shared" si="1"/>
        <v>0</v>
      </c>
      <c r="P49" s="426"/>
    </row>
    <row r="50" spans="1:16" s="226" customFormat="1" ht="12" customHeight="1">
      <c r="A50" s="218"/>
      <c r="B50" s="219"/>
      <c r="C50" s="221"/>
      <c r="D50" s="221" t="str">
        <f>'Order form'!D126</f>
        <v>HJ-6</v>
      </c>
      <c r="E50" s="221" t="str">
        <f>'Order form'!D128</f>
        <v>Pivot joint</v>
      </c>
      <c r="F50" s="228">
        <f>'Order form'!D129</f>
        <v>2.2600000000000002</v>
      </c>
      <c r="G50" s="222">
        <f t="shared" si="2"/>
        <v>0</v>
      </c>
      <c r="H50" s="223"/>
      <c r="I50" s="224"/>
      <c r="J50" s="224">
        <f t="shared" si="5"/>
        <v>0</v>
      </c>
      <c r="K50" s="224" t="s">
        <v>429</v>
      </c>
      <c r="L50" s="224"/>
      <c r="M50" s="224"/>
      <c r="N50" s="225"/>
      <c r="O50" s="395">
        <f t="shared" si="1"/>
        <v>0</v>
      </c>
      <c r="P50" s="426"/>
    </row>
    <row r="51" spans="1:16" s="226" customFormat="1" ht="12" customHeight="1">
      <c r="A51" s="218"/>
      <c r="B51" s="219"/>
      <c r="C51" s="221"/>
      <c r="D51" s="221" t="str">
        <f>'Order form'!I126</f>
        <v>HJ-6A</v>
      </c>
      <c r="E51" s="221" t="str">
        <f>'Order form'!I128</f>
        <v>End pivot  joint</v>
      </c>
      <c r="F51" s="228">
        <f>'Order form'!I129</f>
        <v>3.29</v>
      </c>
      <c r="G51" s="222">
        <f t="shared" si="2"/>
        <v>0</v>
      </c>
      <c r="H51" s="223"/>
      <c r="I51" s="224"/>
      <c r="J51" s="224">
        <f t="shared" si="5"/>
        <v>0</v>
      </c>
      <c r="K51" s="224" t="s">
        <v>429</v>
      </c>
      <c r="L51" s="224"/>
      <c r="M51" s="224"/>
      <c r="N51" s="225"/>
      <c r="O51" s="395">
        <f t="shared" si="1"/>
        <v>0</v>
      </c>
      <c r="P51" s="426"/>
    </row>
    <row r="52" spans="1:16" s="226" customFormat="1" ht="12" customHeight="1">
      <c r="A52" s="218"/>
      <c r="B52" s="219"/>
      <c r="C52" s="221"/>
      <c r="D52" s="221" t="str">
        <f>'Order form'!N126</f>
        <v>HJ-7</v>
      </c>
      <c r="E52" s="221" t="str">
        <f>'Order form'!N128</f>
        <v>Intersection joint</v>
      </c>
      <c r="F52" s="228">
        <f>'Order form'!N129</f>
        <v>1.2300000000000002</v>
      </c>
      <c r="G52" s="222">
        <f t="shared" si="2"/>
        <v>0</v>
      </c>
      <c r="H52" s="223"/>
      <c r="I52" s="224"/>
      <c r="J52" s="224">
        <f t="shared" si="5"/>
        <v>0</v>
      </c>
      <c r="K52" s="224" t="s">
        <v>429</v>
      </c>
      <c r="L52" s="224"/>
      <c r="M52" s="224"/>
      <c r="N52" s="225"/>
      <c r="O52" s="395">
        <f t="shared" si="1"/>
        <v>0</v>
      </c>
      <c r="P52" s="426"/>
    </row>
    <row r="53" spans="1:16" s="226" customFormat="1" ht="12" customHeight="1">
      <c r="A53" s="218"/>
      <c r="B53" s="219"/>
      <c r="C53" s="221"/>
      <c r="D53" s="221" t="str">
        <f>'Order form'!S126</f>
        <v>HJ-7A</v>
      </c>
      <c r="E53" s="221" t="str">
        <f>'Order form'!S128</f>
        <v>Intersection open joint</v>
      </c>
      <c r="F53" s="228">
        <f>'Order form'!S129</f>
        <v>1.53</v>
      </c>
      <c r="G53" s="222">
        <f t="shared" si="2"/>
        <v>0</v>
      </c>
      <c r="H53" s="223"/>
      <c r="I53" s="224"/>
      <c r="J53" s="224">
        <f t="shared" si="5"/>
        <v>0</v>
      </c>
      <c r="K53" s="224" t="s">
        <v>429</v>
      </c>
      <c r="L53" s="224"/>
      <c r="M53" s="224"/>
      <c r="N53" s="225"/>
      <c r="O53" s="395">
        <f t="shared" si="1"/>
        <v>0</v>
      </c>
      <c r="P53" s="426"/>
    </row>
    <row r="54" spans="1:16" s="226" customFormat="1" ht="12" customHeight="1">
      <c r="A54" s="218"/>
      <c r="B54" s="219"/>
      <c r="C54" s="221"/>
      <c r="D54" s="221" t="str">
        <f>'Order form'!X126</f>
        <v>HJ-8</v>
      </c>
      <c r="E54" s="221" t="str">
        <f>'Order form'!X128</f>
        <v>Side foot joint</v>
      </c>
      <c r="F54" s="228">
        <f>'Order form'!X129</f>
        <v>1.9300000000000002</v>
      </c>
      <c r="G54" s="222">
        <f t="shared" si="2"/>
        <v>0</v>
      </c>
      <c r="H54" s="223"/>
      <c r="I54" s="224"/>
      <c r="J54" s="224">
        <f t="shared" si="5"/>
        <v>0</v>
      </c>
      <c r="K54" s="224" t="s">
        <v>429</v>
      </c>
      <c r="L54" s="224"/>
      <c r="M54" s="224"/>
      <c r="N54" s="225"/>
      <c r="O54" s="395">
        <f t="shared" si="1"/>
        <v>0</v>
      </c>
      <c r="P54" s="426"/>
    </row>
    <row r="55" spans="1:16" s="226" customFormat="1" ht="12" customHeight="1">
      <c r="A55" s="218"/>
      <c r="B55" s="219"/>
      <c r="C55" s="221"/>
      <c r="D55" s="221" t="str">
        <f>'Order form'!D137</f>
        <v>HJ-9</v>
      </c>
      <c r="E55" s="221" t="str">
        <f>'Order form'!D139</f>
        <v>Flat foot joint</v>
      </c>
      <c r="F55" s="228">
        <f>'Order form'!D140</f>
        <v>1.9300000000000002</v>
      </c>
      <c r="G55" s="222">
        <f t="shared" si="2"/>
        <v>0</v>
      </c>
      <c r="H55" s="223"/>
      <c r="I55" s="224"/>
      <c r="J55" s="224">
        <f t="shared" si="5"/>
        <v>0</v>
      </c>
      <c r="K55" s="224" t="s">
        <v>429</v>
      </c>
      <c r="L55" s="224"/>
      <c r="M55" s="224"/>
      <c r="N55" s="225"/>
      <c r="O55" s="395">
        <f t="shared" si="1"/>
        <v>0</v>
      </c>
      <c r="P55" s="426"/>
    </row>
    <row r="56" spans="1:16" s="226" customFormat="1" ht="12" customHeight="1">
      <c r="A56" s="218"/>
      <c r="B56" s="219"/>
      <c r="C56" s="221"/>
      <c r="D56" s="221" t="str">
        <f>'Order form'!I137</f>
        <v>HJ-12</v>
      </c>
      <c r="E56" s="221" t="str">
        <f>'Order form'!I139</f>
        <v>Hinge joint</v>
      </c>
      <c r="F56" s="228">
        <f>'Order form'!I140</f>
        <v>1.8800000000000001</v>
      </c>
      <c r="G56" s="222">
        <f t="shared" si="2"/>
        <v>0</v>
      </c>
      <c r="H56" s="223"/>
      <c r="I56" s="224"/>
      <c r="J56" s="224">
        <f t="shared" si="5"/>
        <v>0</v>
      </c>
      <c r="K56" s="224" t="s">
        <v>429</v>
      </c>
      <c r="L56" s="224"/>
      <c r="M56" s="224"/>
      <c r="N56" s="225"/>
      <c r="O56" s="395">
        <f t="shared" si="1"/>
        <v>0</v>
      </c>
      <c r="P56" s="426"/>
    </row>
    <row r="57" spans="1:16" s="226" customFormat="1" ht="12" customHeight="1">
      <c r="A57" s="218"/>
      <c r="B57" s="219"/>
      <c r="C57" s="221"/>
      <c r="D57" s="221" t="str">
        <f>'Order form'!N137</f>
        <v>HJ-13</v>
      </c>
      <c r="E57" s="221" t="str">
        <f>'Order form'!N139</f>
        <v>Parallel joint</v>
      </c>
      <c r="F57" s="228">
        <f>'Order form'!N140</f>
        <v>1.51</v>
      </c>
      <c r="G57" s="222">
        <f t="shared" si="2"/>
        <v>0</v>
      </c>
      <c r="H57" s="223"/>
      <c r="I57" s="224"/>
      <c r="J57" s="224">
        <f t="shared" si="5"/>
        <v>0</v>
      </c>
      <c r="K57" s="224" t="s">
        <v>429</v>
      </c>
      <c r="L57" s="224"/>
      <c r="M57" s="224"/>
      <c r="N57" s="225"/>
      <c r="O57" s="395">
        <f t="shared" si="1"/>
        <v>0</v>
      </c>
      <c r="P57" s="426"/>
    </row>
    <row r="58" spans="1:16" s="226" customFormat="1" ht="12" customHeight="1">
      <c r="A58" s="218"/>
      <c r="B58" s="219"/>
      <c r="C58" s="221"/>
      <c r="D58" s="221" t="str">
        <f>'Order form'!S137</f>
        <v>HJ-14</v>
      </c>
      <c r="E58" s="221" t="str">
        <f>'Order form'!S139</f>
        <v>Double pivot joint</v>
      </c>
      <c r="F58" s="228">
        <f>'Order form'!S140</f>
        <v>4.12</v>
      </c>
      <c r="G58" s="222">
        <f t="shared" si="2"/>
        <v>0</v>
      </c>
      <c r="H58" s="223"/>
      <c r="I58" s="224"/>
      <c r="J58" s="224">
        <f t="shared" si="5"/>
        <v>0</v>
      </c>
      <c r="K58" s="224" t="s">
        <v>429</v>
      </c>
      <c r="L58" s="224"/>
      <c r="M58" s="224"/>
      <c r="N58" s="225"/>
      <c r="O58" s="395">
        <f t="shared" si="1"/>
        <v>0</v>
      </c>
      <c r="P58" s="426"/>
    </row>
    <row r="59" spans="1:16" s="226" customFormat="1" ht="12" customHeight="1">
      <c r="A59" s="218"/>
      <c r="B59" s="219"/>
      <c r="C59" s="221"/>
      <c r="D59" s="221" t="str">
        <f>'Order form'!X137</f>
        <v>HJ-15</v>
      </c>
      <c r="E59" s="221" t="str">
        <f>'Order form'!X139</f>
        <v>Flat clamp joint</v>
      </c>
      <c r="F59" s="228">
        <f>'Order form'!X140</f>
        <v>1.6300000000000001</v>
      </c>
      <c r="G59" s="222">
        <f t="shared" si="2"/>
        <v>0</v>
      </c>
      <c r="H59" s="223"/>
      <c r="I59" s="224"/>
      <c r="J59" s="224">
        <f t="shared" si="5"/>
        <v>0</v>
      </c>
      <c r="K59" s="224" t="s">
        <v>429</v>
      </c>
      <c r="L59" s="224"/>
      <c r="M59" s="224"/>
      <c r="N59" s="225"/>
      <c r="O59" s="395">
        <f t="shared" si="1"/>
        <v>0</v>
      </c>
      <c r="P59" s="426"/>
    </row>
    <row r="60" spans="1:16" s="226" customFormat="1" ht="12" customHeight="1">
      <c r="A60" s="218"/>
      <c r="B60" s="219"/>
      <c r="C60" s="221"/>
      <c r="D60" s="221" t="str">
        <f>'Order form'!D148</f>
        <v>HJ-17</v>
      </c>
      <c r="E60" s="221" t="str">
        <f>'Order form'!D150</f>
        <v>45⁰ fix angle joint</v>
      </c>
      <c r="F60" s="228">
        <f>'Order form'!D151</f>
        <v>1.53</v>
      </c>
      <c r="G60" s="222">
        <f t="shared" si="2"/>
        <v>0</v>
      </c>
      <c r="H60" s="223"/>
      <c r="I60" s="224"/>
      <c r="J60" s="224">
        <f t="shared" si="5"/>
        <v>0</v>
      </c>
      <c r="K60" s="224" t="s">
        <v>429</v>
      </c>
      <c r="L60" s="224"/>
      <c r="M60" s="224"/>
      <c r="N60" s="225"/>
      <c r="O60" s="395">
        <f t="shared" si="1"/>
        <v>0</v>
      </c>
      <c r="P60" s="426"/>
    </row>
    <row r="61" spans="1:16" s="226" customFormat="1" ht="12" customHeight="1">
      <c r="A61" s="218"/>
      <c r="B61" s="219"/>
      <c r="C61" s="221"/>
      <c r="D61" s="221" t="str">
        <f>'Order form'!I148</f>
        <v>HJ-19</v>
      </c>
      <c r="E61" s="221" t="str">
        <f>'Order form'!I150</f>
        <v>Parallel hinge joint</v>
      </c>
      <c r="F61" s="228">
        <f>'Order form'!I151</f>
        <v>2.23</v>
      </c>
      <c r="G61" s="222">
        <f t="shared" si="2"/>
        <v>0</v>
      </c>
      <c r="H61" s="223"/>
      <c r="I61" s="224"/>
      <c r="J61" s="224">
        <f t="shared" si="5"/>
        <v>0</v>
      </c>
      <c r="K61" s="224" t="s">
        <v>429</v>
      </c>
      <c r="L61" s="224"/>
      <c r="M61" s="224"/>
      <c r="N61" s="225"/>
      <c r="O61" s="395">
        <f t="shared" si="1"/>
        <v>0</v>
      </c>
      <c r="P61" s="426"/>
    </row>
    <row r="62" spans="1:16" s="226" customFormat="1" ht="12" customHeight="1">
      <c r="A62" s="218"/>
      <c r="B62" s="219"/>
      <c r="C62" s="221"/>
      <c r="D62" s="221" t="str">
        <f>'Order form'!N148</f>
        <v>HJ-90</v>
      </c>
      <c r="E62" s="221" t="str">
        <f>'Order form'!N150</f>
        <v>90⁰ fix angle joint</v>
      </c>
      <c r="F62" s="228">
        <f>'Order form'!N151</f>
        <v>1.8600000000000003</v>
      </c>
      <c r="G62" s="222">
        <f t="shared" si="2"/>
        <v>0</v>
      </c>
      <c r="H62" s="223"/>
      <c r="I62" s="224"/>
      <c r="J62" s="224">
        <f t="shared" si="5"/>
        <v>0</v>
      </c>
      <c r="K62" s="224" t="s">
        <v>429</v>
      </c>
      <c r="L62" s="224"/>
      <c r="M62" s="224"/>
      <c r="N62" s="225"/>
      <c r="O62" s="395">
        <f t="shared" si="1"/>
        <v>0</v>
      </c>
      <c r="P62" s="676"/>
    </row>
    <row r="63" spans="1:16" s="400" customFormat="1" ht="12" customHeight="1">
      <c r="A63" s="393" t="s">
        <v>162</v>
      </c>
      <c r="B63" s="394" t="s">
        <v>166</v>
      </c>
      <c r="C63" s="395">
        <f>'Order form'!F162+('Order form'!F196*2)</f>
        <v>0</v>
      </c>
      <c r="D63" s="395" t="str">
        <f>'Order form'!D161</f>
        <v>H-1NP</v>
      </c>
      <c r="E63" s="395" t="s">
        <v>474</v>
      </c>
      <c r="F63" s="396">
        <f>'Order form'!D162</f>
        <v>0.66</v>
      </c>
      <c r="G63" s="396">
        <f t="shared" si="2"/>
        <v>0</v>
      </c>
      <c r="H63" s="397">
        <v>0.14740000000000003</v>
      </c>
      <c r="I63" s="398">
        <f t="shared" ref="I63:I77" si="11">C63*H63</f>
        <v>0</v>
      </c>
      <c r="J63" s="398">
        <f t="shared" si="5"/>
        <v>0</v>
      </c>
      <c r="K63" s="398" t="s">
        <v>31</v>
      </c>
      <c r="L63" s="398">
        <v>225</v>
      </c>
      <c r="M63" s="398">
        <f t="shared" si="6"/>
        <v>0</v>
      </c>
      <c r="N63" s="399">
        <f t="shared" ref="N63:N77" si="12">L63*H63</f>
        <v>33.165000000000006</v>
      </c>
      <c r="O63" s="395">
        <f t="shared" si="1"/>
        <v>0</v>
      </c>
      <c r="P63" s="665"/>
    </row>
    <row r="64" spans="1:16" s="400" customFormat="1" ht="12" customHeight="1">
      <c r="A64" s="393" t="s">
        <v>162</v>
      </c>
      <c r="B64" s="394" t="s">
        <v>166</v>
      </c>
      <c r="C64" s="395">
        <f>'Order form'!K162+('Order form'!K196*1)+('Order form'!P196*2)+('Order form'!Z196*4)</f>
        <v>0</v>
      </c>
      <c r="D64" s="395" t="str">
        <f>'Order form'!I161</f>
        <v>H-2NP</v>
      </c>
      <c r="E64" s="395" t="s">
        <v>474</v>
      </c>
      <c r="F64" s="396">
        <f>'Order form'!I162</f>
        <v>1.08</v>
      </c>
      <c r="G64" s="396">
        <f t="shared" si="2"/>
        <v>0</v>
      </c>
      <c r="H64" s="397">
        <v>0.20680000000000001</v>
      </c>
      <c r="I64" s="398">
        <f t="shared" si="11"/>
        <v>0</v>
      </c>
      <c r="J64" s="398">
        <f t="shared" si="5"/>
        <v>0</v>
      </c>
      <c r="K64" s="398" t="s">
        <v>31</v>
      </c>
      <c r="L64" s="398">
        <v>150</v>
      </c>
      <c r="M64" s="398">
        <f t="shared" si="6"/>
        <v>0</v>
      </c>
      <c r="N64" s="399">
        <f t="shared" si="12"/>
        <v>31.020000000000003</v>
      </c>
      <c r="O64" s="395">
        <f t="shared" si="1"/>
        <v>0</v>
      </c>
      <c r="P64" s="409"/>
    </row>
    <row r="65" spans="1:16" s="400" customFormat="1" ht="12" customHeight="1">
      <c r="A65" s="393" t="s">
        <v>162</v>
      </c>
      <c r="B65" s="394" t="s">
        <v>166</v>
      </c>
      <c r="C65" s="395">
        <f>'Order form'!P162+('Order form'!K196*1)</f>
        <v>0</v>
      </c>
      <c r="D65" s="395" t="str">
        <f>'Order form'!N161</f>
        <v>H-3NP</v>
      </c>
      <c r="E65" s="395" t="s">
        <v>474</v>
      </c>
      <c r="F65" s="396">
        <f>'Order form'!N162</f>
        <v>1.1399999999999999</v>
      </c>
      <c r="G65" s="396">
        <f t="shared" si="2"/>
        <v>0</v>
      </c>
      <c r="H65" s="397">
        <v>0.26400000000000001</v>
      </c>
      <c r="I65" s="398">
        <f t="shared" si="11"/>
        <v>0</v>
      </c>
      <c r="J65" s="398">
        <f t="shared" si="5"/>
        <v>0</v>
      </c>
      <c r="K65" s="398" t="s">
        <v>31</v>
      </c>
      <c r="L65" s="398">
        <v>60</v>
      </c>
      <c r="M65" s="398">
        <f t="shared" si="6"/>
        <v>0</v>
      </c>
      <c r="N65" s="399">
        <f t="shared" si="12"/>
        <v>15.84</v>
      </c>
      <c r="O65" s="395">
        <f t="shared" si="1"/>
        <v>0</v>
      </c>
      <c r="P65" s="409"/>
    </row>
    <row r="66" spans="1:16" s="400" customFormat="1" ht="12" customHeight="1">
      <c r="A66" s="393" t="s">
        <v>162</v>
      </c>
      <c r="B66" s="394" t="s">
        <v>166</v>
      </c>
      <c r="C66" s="395">
        <f>'Order form'!U162+('Order form'!P196*1)+('Order form'!U196*2)</f>
        <v>0</v>
      </c>
      <c r="D66" s="395" t="str">
        <f>'Order form'!S161</f>
        <v>H-4NP</v>
      </c>
      <c r="E66" s="395" t="s">
        <v>474</v>
      </c>
      <c r="F66" s="396">
        <f>'Order form'!S162</f>
        <v>1.02</v>
      </c>
      <c r="G66" s="396">
        <f t="shared" si="2"/>
        <v>0</v>
      </c>
      <c r="H66" s="397">
        <v>0.23320000000000002</v>
      </c>
      <c r="I66" s="398">
        <f t="shared" si="11"/>
        <v>0</v>
      </c>
      <c r="J66" s="398">
        <f t="shared" si="5"/>
        <v>0</v>
      </c>
      <c r="K66" s="398" t="s">
        <v>31</v>
      </c>
      <c r="L66" s="398">
        <v>150</v>
      </c>
      <c r="M66" s="398">
        <f t="shared" si="6"/>
        <v>0</v>
      </c>
      <c r="N66" s="399">
        <f t="shared" si="12"/>
        <v>34.980000000000004</v>
      </c>
      <c r="O66" s="395">
        <f t="shared" si="1"/>
        <v>0</v>
      </c>
      <c r="P66" s="409"/>
    </row>
    <row r="67" spans="1:16" s="400" customFormat="1" ht="12" customHeight="1">
      <c r="A67" s="393" t="s">
        <v>162</v>
      </c>
      <c r="B67" s="394" t="s">
        <v>166</v>
      </c>
      <c r="C67" s="395">
        <f>'Order form'!Z162+('Order form'!F207*2)</f>
        <v>0</v>
      </c>
      <c r="D67" s="395" t="str">
        <f>'Order form'!X161</f>
        <v>H-5NP</v>
      </c>
      <c r="E67" s="395" t="s">
        <v>474</v>
      </c>
      <c r="F67" s="396">
        <f>'Order form'!X162</f>
        <v>0.66</v>
      </c>
      <c r="G67" s="396">
        <f t="shared" si="2"/>
        <v>0</v>
      </c>
      <c r="H67" s="397">
        <v>9.9000000000000005E-2</v>
      </c>
      <c r="I67" s="398">
        <f t="shared" si="11"/>
        <v>0</v>
      </c>
      <c r="J67" s="398">
        <f t="shared" si="5"/>
        <v>0</v>
      </c>
      <c r="K67" s="398" t="s">
        <v>31</v>
      </c>
      <c r="L67" s="398">
        <v>225</v>
      </c>
      <c r="M67" s="398">
        <f t="shared" si="6"/>
        <v>0</v>
      </c>
      <c r="N67" s="399">
        <f t="shared" si="12"/>
        <v>22.275000000000002</v>
      </c>
      <c r="O67" s="395">
        <f t="shared" si="1"/>
        <v>0</v>
      </c>
      <c r="P67" s="409"/>
    </row>
    <row r="68" spans="1:16" s="400" customFormat="1" ht="12" customHeight="1">
      <c r="A68" s="393" t="s">
        <v>162</v>
      </c>
      <c r="B68" s="394" t="s">
        <v>166</v>
      </c>
      <c r="C68" s="395">
        <f>'Order form'!F172+('Order form'!F207*2)</f>
        <v>0</v>
      </c>
      <c r="D68" s="395" t="str">
        <f>'Order form'!D171</f>
        <v>H-6NP</v>
      </c>
      <c r="E68" s="395" t="s">
        <v>474</v>
      </c>
      <c r="F68" s="396">
        <f>'Order form'!D172</f>
        <v>0.66</v>
      </c>
      <c r="G68" s="396">
        <f t="shared" si="2"/>
        <v>0</v>
      </c>
      <c r="H68" s="397">
        <v>0.1298</v>
      </c>
      <c r="I68" s="398">
        <f t="shared" si="11"/>
        <v>0</v>
      </c>
      <c r="J68" s="398">
        <f t="shared" si="5"/>
        <v>0</v>
      </c>
      <c r="K68" s="398" t="s">
        <v>31</v>
      </c>
      <c r="L68" s="398">
        <v>225</v>
      </c>
      <c r="M68" s="398">
        <f t="shared" si="6"/>
        <v>0</v>
      </c>
      <c r="N68" s="399">
        <f t="shared" si="12"/>
        <v>29.204999999999998</v>
      </c>
      <c r="O68" s="395">
        <f t="shared" si="1"/>
        <v>0</v>
      </c>
      <c r="P68" s="409"/>
    </row>
    <row r="69" spans="1:16" s="400" customFormat="1" ht="12" customHeight="1">
      <c r="A69" s="393" t="s">
        <v>162</v>
      </c>
      <c r="B69" s="394" t="s">
        <v>166</v>
      </c>
      <c r="C69" s="395">
        <f>'Order form'!K172+('Order form'!K207*2)</f>
        <v>0</v>
      </c>
      <c r="D69" s="395" t="str">
        <f>'Order form'!I171</f>
        <v>H-7NP</v>
      </c>
      <c r="E69" s="395" t="s">
        <v>474</v>
      </c>
      <c r="F69" s="396">
        <f>'Order form'!I172</f>
        <v>0.66</v>
      </c>
      <c r="G69" s="396">
        <f t="shared" ref="G69:G140" si="13">F69*C69</f>
        <v>0</v>
      </c>
      <c r="H69" s="397">
        <v>0.1056</v>
      </c>
      <c r="I69" s="398">
        <f t="shared" si="11"/>
        <v>0</v>
      </c>
      <c r="J69" s="398">
        <f t="shared" si="5"/>
        <v>0</v>
      </c>
      <c r="K69" s="398" t="s">
        <v>31</v>
      </c>
      <c r="L69" s="398">
        <v>150</v>
      </c>
      <c r="M69" s="398">
        <f t="shared" si="6"/>
        <v>0</v>
      </c>
      <c r="N69" s="399">
        <f t="shared" si="12"/>
        <v>15.84</v>
      </c>
      <c r="O69" s="395">
        <f t="shared" si="1"/>
        <v>0</v>
      </c>
      <c r="P69" s="409"/>
    </row>
    <row r="70" spans="1:16" s="400" customFormat="1" ht="12" customHeight="1">
      <c r="A70" s="393" t="s">
        <v>162</v>
      </c>
      <c r="B70" s="394" t="s">
        <v>166</v>
      </c>
      <c r="C70" s="395">
        <f>'Order form'!P172+('Order form'!P207*2)</f>
        <v>0</v>
      </c>
      <c r="D70" s="395" t="s">
        <v>530</v>
      </c>
      <c r="E70" s="395" t="s">
        <v>474</v>
      </c>
      <c r="F70" s="396">
        <f>'Order form'!N172</f>
        <v>0.9</v>
      </c>
      <c r="G70" s="396">
        <f t="shared" si="13"/>
        <v>0</v>
      </c>
      <c r="H70" s="397">
        <v>0.1386</v>
      </c>
      <c r="I70" s="398">
        <f t="shared" si="11"/>
        <v>0</v>
      </c>
      <c r="J70" s="398">
        <f t="shared" si="5"/>
        <v>0</v>
      </c>
      <c r="K70" s="398" t="s">
        <v>31</v>
      </c>
      <c r="L70" s="398">
        <f>'Order form'!Q173</f>
        <v>180</v>
      </c>
      <c r="M70" s="398">
        <f t="shared" si="6"/>
        <v>0</v>
      </c>
      <c r="N70" s="399">
        <f t="shared" si="12"/>
        <v>24.948</v>
      </c>
      <c r="O70" s="395">
        <f t="shared" si="1"/>
        <v>0</v>
      </c>
      <c r="P70" s="409"/>
    </row>
    <row r="71" spans="1:16" s="400" customFormat="1" ht="12" customHeight="1">
      <c r="A71" s="393" t="s">
        <v>162</v>
      </c>
      <c r="B71" s="394" t="s">
        <v>166</v>
      </c>
      <c r="C71" s="395">
        <f>'Order form'!U172+('Order form'!U207*2)</f>
        <v>0</v>
      </c>
      <c r="D71" s="395" t="str">
        <f>'Order form'!S171</f>
        <v>H-13NP</v>
      </c>
      <c r="E71" s="395" t="s">
        <v>474</v>
      </c>
      <c r="F71" s="396">
        <f>'Order form'!N172</f>
        <v>0.9</v>
      </c>
      <c r="G71" s="396">
        <f t="shared" si="13"/>
        <v>0</v>
      </c>
      <c r="H71" s="397">
        <v>0.11660000000000001</v>
      </c>
      <c r="I71" s="398">
        <f t="shared" si="11"/>
        <v>0</v>
      </c>
      <c r="J71" s="398">
        <f t="shared" si="5"/>
        <v>0</v>
      </c>
      <c r="K71" s="398" t="s">
        <v>31</v>
      </c>
      <c r="L71" s="398">
        <v>225</v>
      </c>
      <c r="M71" s="398">
        <f t="shared" si="6"/>
        <v>0</v>
      </c>
      <c r="N71" s="399">
        <f t="shared" si="12"/>
        <v>26.235000000000003</v>
      </c>
      <c r="O71" s="395">
        <f t="shared" ref="O71:O134" si="14">IF(C71=0,O70,O70+1)</f>
        <v>0</v>
      </c>
      <c r="P71" s="409"/>
    </row>
    <row r="72" spans="1:16" s="400" customFormat="1" ht="12" customHeight="1">
      <c r="A72" s="393" t="s">
        <v>162</v>
      </c>
      <c r="B72" s="394" t="s">
        <v>166</v>
      </c>
      <c r="C72" s="395">
        <f>'Order form'!Z172+('Order form'!Z207)</f>
        <v>0</v>
      </c>
      <c r="D72" s="395" t="s">
        <v>531</v>
      </c>
      <c r="E72" s="395" t="s">
        <v>474</v>
      </c>
      <c r="F72" s="396">
        <f>'Order form'!X172</f>
        <v>0.9</v>
      </c>
      <c r="G72" s="396">
        <f t="shared" si="13"/>
        <v>0</v>
      </c>
      <c r="H72" s="397">
        <v>8.3599999999999994E-2</v>
      </c>
      <c r="I72" s="398">
        <f t="shared" si="11"/>
        <v>0</v>
      </c>
      <c r="J72" s="398">
        <f t="shared" si="5"/>
        <v>0</v>
      </c>
      <c r="K72" s="398" t="s">
        <v>31</v>
      </c>
      <c r="L72" s="398">
        <f>'Order form'!AA173</f>
        <v>300</v>
      </c>
      <c r="M72" s="398">
        <f t="shared" si="6"/>
        <v>0</v>
      </c>
      <c r="N72" s="399">
        <f t="shared" si="12"/>
        <v>25.08</v>
      </c>
      <c r="O72" s="395">
        <f t="shared" si="14"/>
        <v>0</v>
      </c>
      <c r="P72" s="409"/>
    </row>
    <row r="73" spans="1:16" s="400" customFormat="1" ht="12" customHeight="1">
      <c r="A73" s="393" t="s">
        <v>162</v>
      </c>
      <c r="B73" s="394" t="s">
        <v>166</v>
      </c>
      <c r="C73" s="395">
        <f>'Order form'!F182+('Order form'!Z207)</f>
        <v>0</v>
      </c>
      <c r="D73" s="395" t="s">
        <v>532</v>
      </c>
      <c r="E73" s="395" t="s">
        <v>474</v>
      </c>
      <c r="F73" s="396">
        <f>'Order form'!D182</f>
        <v>0.85</v>
      </c>
      <c r="G73" s="396">
        <f t="shared" si="13"/>
        <v>0</v>
      </c>
      <c r="H73" s="397">
        <v>0.1012</v>
      </c>
      <c r="I73" s="398">
        <f t="shared" si="11"/>
        <v>0</v>
      </c>
      <c r="J73" s="398">
        <f t="shared" si="5"/>
        <v>0</v>
      </c>
      <c r="K73" s="398" t="s">
        <v>31</v>
      </c>
      <c r="L73" s="398">
        <f>'Order form'!G183</f>
        <v>300</v>
      </c>
      <c r="M73" s="398">
        <f t="shared" si="6"/>
        <v>0</v>
      </c>
      <c r="N73" s="399">
        <f t="shared" si="12"/>
        <v>30.36</v>
      </c>
      <c r="O73" s="395">
        <f t="shared" si="14"/>
        <v>0</v>
      </c>
      <c r="P73" s="409"/>
    </row>
    <row r="74" spans="1:16" s="400" customFormat="1" ht="12" customHeight="1">
      <c r="A74" s="393" t="s">
        <v>162</v>
      </c>
      <c r="B74" s="394" t="s">
        <v>166</v>
      </c>
      <c r="C74" s="395">
        <f>'Order form'!K182+('Order form'!F218)</f>
        <v>0</v>
      </c>
      <c r="D74" s="395" t="s">
        <v>533</v>
      </c>
      <c r="E74" s="395" t="s">
        <v>474</v>
      </c>
      <c r="F74" s="396">
        <f>'Order form'!I182</f>
        <v>0.75</v>
      </c>
      <c r="G74" s="396">
        <f t="shared" si="13"/>
        <v>0</v>
      </c>
      <c r="H74" s="397">
        <v>0.15179999999999999</v>
      </c>
      <c r="I74" s="398">
        <f t="shared" si="11"/>
        <v>0</v>
      </c>
      <c r="J74" s="398">
        <f t="shared" si="5"/>
        <v>0</v>
      </c>
      <c r="K74" s="398" t="s">
        <v>31</v>
      </c>
      <c r="L74" s="398">
        <f>'Order form'!L183</f>
        <v>145</v>
      </c>
      <c r="M74" s="398">
        <f t="shared" si="6"/>
        <v>0</v>
      </c>
      <c r="N74" s="399">
        <f t="shared" si="12"/>
        <v>22.010999999999999</v>
      </c>
      <c r="O74" s="395">
        <f t="shared" si="14"/>
        <v>0</v>
      </c>
      <c r="P74" s="409"/>
    </row>
    <row r="75" spans="1:16" s="400" customFormat="1" ht="12" customHeight="1">
      <c r="A75" s="393" t="s">
        <v>162</v>
      </c>
      <c r="B75" s="394" t="s">
        <v>166</v>
      </c>
      <c r="C75" s="395">
        <f>'Order form'!P182+('Order form'!F218)</f>
        <v>0</v>
      </c>
      <c r="D75" s="395" t="s">
        <v>534</v>
      </c>
      <c r="E75" s="395" t="s">
        <v>474</v>
      </c>
      <c r="F75" s="396">
        <f>'Order form'!N182</f>
        <v>0.75</v>
      </c>
      <c r="G75" s="396">
        <f t="shared" si="13"/>
        <v>0</v>
      </c>
      <c r="H75" s="397">
        <v>0.15179999999999999</v>
      </c>
      <c r="I75" s="398">
        <f t="shared" si="11"/>
        <v>0</v>
      </c>
      <c r="J75" s="398">
        <f t="shared" si="5"/>
        <v>0</v>
      </c>
      <c r="K75" s="398" t="s">
        <v>31</v>
      </c>
      <c r="L75" s="398">
        <f>'Order form'!Q183</f>
        <v>145</v>
      </c>
      <c r="M75" s="398">
        <f t="shared" si="6"/>
        <v>0</v>
      </c>
      <c r="N75" s="399">
        <f t="shared" si="12"/>
        <v>22.010999999999999</v>
      </c>
      <c r="O75" s="395">
        <f t="shared" si="14"/>
        <v>0</v>
      </c>
      <c r="P75" s="409"/>
    </row>
    <row r="76" spans="1:16" s="400" customFormat="1" ht="12" customHeight="1">
      <c r="A76" s="393" t="s">
        <v>162</v>
      </c>
      <c r="B76" s="394" t="s">
        <v>166</v>
      </c>
      <c r="C76" s="395">
        <f>'Order form'!U182+('Order form'!K218*2)</f>
        <v>0</v>
      </c>
      <c r="D76" s="395" t="str">
        <f>'Order form'!S181</f>
        <v>H-19NP</v>
      </c>
      <c r="E76" s="395" t="s">
        <v>474</v>
      </c>
      <c r="F76" s="396">
        <f>'Order form'!S182</f>
        <v>1</v>
      </c>
      <c r="G76" s="396">
        <f t="shared" si="13"/>
        <v>0</v>
      </c>
      <c r="H76" s="397">
        <v>0.13639999999999999</v>
      </c>
      <c r="I76" s="398">
        <f t="shared" si="11"/>
        <v>0</v>
      </c>
      <c r="J76" s="398">
        <f t="shared" si="5"/>
        <v>0</v>
      </c>
      <c r="K76" s="398" t="s">
        <v>31</v>
      </c>
      <c r="L76" s="398">
        <f>'Order form'!V183</f>
        <v>100</v>
      </c>
      <c r="M76" s="398">
        <f t="shared" si="6"/>
        <v>0</v>
      </c>
      <c r="N76" s="399">
        <f t="shared" si="12"/>
        <v>13.639999999999999</v>
      </c>
      <c r="O76" s="395">
        <f t="shared" si="14"/>
        <v>0</v>
      </c>
      <c r="P76" s="410"/>
    </row>
    <row r="77" spans="1:16" s="400" customFormat="1" ht="12" customHeight="1">
      <c r="A77" s="393" t="s">
        <v>162</v>
      </c>
      <c r="B77" s="394" t="s">
        <v>166</v>
      </c>
      <c r="C77" s="395">
        <f>'Order form'!Z182+('Order form'!P218*2)</f>
        <v>0</v>
      </c>
      <c r="D77" s="395" t="str">
        <f>'Order form'!X181</f>
        <v>H-90NP</v>
      </c>
      <c r="E77" s="395" t="s">
        <v>474</v>
      </c>
      <c r="F77" s="396">
        <f>'Order form'!X182</f>
        <v>1</v>
      </c>
      <c r="G77" s="396">
        <f t="shared" si="13"/>
        <v>0</v>
      </c>
      <c r="H77" s="397">
        <v>0.22439999999999999</v>
      </c>
      <c r="I77" s="398">
        <f t="shared" si="11"/>
        <v>0</v>
      </c>
      <c r="J77" s="398">
        <f t="shared" si="5"/>
        <v>0</v>
      </c>
      <c r="K77" s="398" t="s">
        <v>31</v>
      </c>
      <c r="L77" s="398">
        <f>'Order form'!AA183</f>
        <v>100</v>
      </c>
      <c r="M77" s="398">
        <f t="shared" si="6"/>
        <v>0</v>
      </c>
      <c r="N77" s="399">
        <f t="shared" si="12"/>
        <v>22.439999999999998</v>
      </c>
      <c r="O77" s="395">
        <f t="shared" si="14"/>
        <v>0</v>
      </c>
      <c r="P77" s="401">
        <f>SUM(G63:G77)</f>
        <v>0</v>
      </c>
    </row>
    <row r="78" spans="1:16" s="226" customFormat="1" ht="12" customHeight="1">
      <c r="A78" s="393" t="s">
        <v>162</v>
      </c>
      <c r="B78" s="219"/>
      <c r="C78" s="221"/>
      <c r="D78" s="221" t="str">
        <f>'Order form'!D193</f>
        <v>HJ-1NP</v>
      </c>
      <c r="E78" s="221" t="s">
        <v>632</v>
      </c>
      <c r="F78" s="228">
        <f>'Order form'!D196</f>
        <v>1.4500000000000002</v>
      </c>
      <c r="G78" s="222">
        <f t="shared" si="13"/>
        <v>0</v>
      </c>
      <c r="H78" s="229"/>
      <c r="I78" s="224"/>
      <c r="J78" s="224">
        <f t="shared" si="5"/>
        <v>0</v>
      </c>
      <c r="K78" s="224" t="s">
        <v>429</v>
      </c>
      <c r="L78" s="224"/>
      <c r="M78" s="224"/>
      <c r="N78" s="225"/>
      <c r="O78" s="395">
        <f t="shared" si="14"/>
        <v>0</v>
      </c>
      <c r="P78" s="1142"/>
    </row>
    <row r="79" spans="1:16" s="226" customFormat="1" ht="12" customHeight="1">
      <c r="A79" s="393" t="s">
        <v>162</v>
      </c>
      <c r="B79" s="219"/>
      <c r="C79" s="221"/>
      <c r="D79" s="221" t="str">
        <f>'Order form'!I193</f>
        <v>HJ-2NP</v>
      </c>
      <c r="E79" s="221" t="s">
        <v>632</v>
      </c>
      <c r="F79" s="228">
        <f>'Order form'!I196</f>
        <v>2.48</v>
      </c>
      <c r="G79" s="222">
        <f t="shared" si="13"/>
        <v>0</v>
      </c>
      <c r="H79" s="223"/>
      <c r="I79" s="224"/>
      <c r="J79" s="224">
        <f t="shared" ref="J79:J155" si="15">I79*1.1</f>
        <v>0</v>
      </c>
      <c r="K79" s="224" t="s">
        <v>429</v>
      </c>
      <c r="L79" s="224"/>
      <c r="M79" s="224"/>
      <c r="N79" s="225"/>
      <c r="O79" s="395">
        <f t="shared" si="14"/>
        <v>0</v>
      </c>
      <c r="P79" s="1143"/>
    </row>
    <row r="80" spans="1:16" s="226" customFormat="1" ht="12" customHeight="1">
      <c r="A80" s="393" t="s">
        <v>162</v>
      </c>
      <c r="B80" s="219"/>
      <c r="C80" s="221"/>
      <c r="D80" s="221" t="str">
        <f>'Order form'!N193</f>
        <v>HJ-3NP</v>
      </c>
      <c r="E80" s="221" t="s">
        <v>632</v>
      </c>
      <c r="F80" s="228">
        <f>'Order form'!N196</f>
        <v>3.5700000000000003</v>
      </c>
      <c r="G80" s="222">
        <f t="shared" si="13"/>
        <v>0</v>
      </c>
      <c r="H80" s="223"/>
      <c r="I80" s="224"/>
      <c r="J80" s="224">
        <f t="shared" si="15"/>
        <v>0</v>
      </c>
      <c r="K80" s="224" t="s">
        <v>429</v>
      </c>
      <c r="L80" s="224"/>
      <c r="M80" s="224"/>
      <c r="N80" s="225"/>
      <c r="O80" s="395">
        <f t="shared" si="14"/>
        <v>0</v>
      </c>
      <c r="P80" s="1143"/>
    </row>
    <row r="81" spans="1:16" s="226" customFormat="1" ht="12" customHeight="1">
      <c r="A81" s="393" t="s">
        <v>162</v>
      </c>
      <c r="B81" s="219"/>
      <c r="C81" s="221"/>
      <c r="D81" s="221" t="str">
        <f>'Order form'!S193</f>
        <v>HJ-4NP</v>
      </c>
      <c r="E81" s="221" t="s">
        <v>632</v>
      </c>
      <c r="F81" s="228">
        <f>'Order form'!S196</f>
        <v>2.3000000000000003</v>
      </c>
      <c r="G81" s="222">
        <f t="shared" si="13"/>
        <v>0</v>
      </c>
      <c r="H81" s="223"/>
      <c r="I81" s="224"/>
      <c r="J81" s="224">
        <f t="shared" si="15"/>
        <v>0</v>
      </c>
      <c r="K81" s="224" t="s">
        <v>429</v>
      </c>
      <c r="L81" s="224"/>
      <c r="M81" s="224"/>
      <c r="N81" s="225"/>
      <c r="O81" s="395">
        <f t="shared" si="14"/>
        <v>0</v>
      </c>
      <c r="P81" s="1143"/>
    </row>
    <row r="82" spans="1:16" s="226" customFormat="1" ht="12" customHeight="1">
      <c r="A82" s="393" t="s">
        <v>162</v>
      </c>
      <c r="B82" s="219"/>
      <c r="C82" s="221"/>
      <c r="D82" s="221" t="str">
        <f>'Order form'!X193</f>
        <v>HJ-5NP</v>
      </c>
      <c r="E82" s="221" t="s">
        <v>632</v>
      </c>
      <c r="F82" s="228">
        <f>'Order form'!X196</f>
        <v>4.8400000000000007</v>
      </c>
      <c r="G82" s="222">
        <f t="shared" si="13"/>
        <v>0</v>
      </c>
      <c r="H82" s="223"/>
      <c r="I82" s="224"/>
      <c r="J82" s="224">
        <f t="shared" si="15"/>
        <v>0</v>
      </c>
      <c r="K82" s="224" t="s">
        <v>429</v>
      </c>
      <c r="L82" s="224"/>
      <c r="M82" s="224"/>
      <c r="N82" s="225"/>
      <c r="O82" s="395">
        <f t="shared" si="14"/>
        <v>0</v>
      </c>
      <c r="P82" s="1143"/>
    </row>
    <row r="83" spans="1:16" s="226" customFormat="1" ht="12" customHeight="1">
      <c r="A83" s="393" t="s">
        <v>162</v>
      </c>
      <c r="B83" s="219"/>
      <c r="C83" s="221"/>
      <c r="D83" s="221" t="str">
        <f>'Order form'!D204</f>
        <v>HJ-6NP</v>
      </c>
      <c r="E83" s="221" t="s">
        <v>632</v>
      </c>
      <c r="F83" s="228">
        <f>'Order form'!D207</f>
        <v>2.9000000000000004</v>
      </c>
      <c r="G83" s="222">
        <f t="shared" si="13"/>
        <v>0</v>
      </c>
      <c r="H83" s="223"/>
      <c r="I83" s="224"/>
      <c r="J83" s="224">
        <f t="shared" si="15"/>
        <v>0</v>
      </c>
      <c r="K83" s="224" t="s">
        <v>429</v>
      </c>
      <c r="L83" s="224"/>
      <c r="M83" s="224"/>
      <c r="N83" s="225"/>
      <c r="O83" s="395">
        <f t="shared" si="14"/>
        <v>0</v>
      </c>
      <c r="P83" s="1143"/>
    </row>
    <row r="84" spans="1:16" s="226" customFormat="1" ht="12" customHeight="1">
      <c r="A84" s="393" t="s">
        <v>162</v>
      </c>
      <c r="B84" s="219"/>
      <c r="C84" s="221"/>
      <c r="D84" s="221" t="str">
        <f>'Order form'!I204</f>
        <v>HJ-7NP</v>
      </c>
      <c r="E84" s="221" t="s">
        <v>632</v>
      </c>
      <c r="F84" s="228">
        <f>'Order form'!I207</f>
        <v>1.4500000000000002</v>
      </c>
      <c r="G84" s="222">
        <f t="shared" si="13"/>
        <v>0</v>
      </c>
      <c r="H84" s="223"/>
      <c r="I84" s="224"/>
      <c r="J84" s="224">
        <f t="shared" si="15"/>
        <v>0</v>
      </c>
      <c r="K84" s="224" t="s">
        <v>429</v>
      </c>
      <c r="L84" s="224"/>
      <c r="M84" s="224"/>
      <c r="N84" s="225"/>
      <c r="O84" s="395">
        <f t="shared" si="14"/>
        <v>0</v>
      </c>
      <c r="P84" s="1143"/>
    </row>
    <row r="85" spans="1:16" s="226" customFormat="1" ht="12" customHeight="1">
      <c r="A85" s="393" t="s">
        <v>162</v>
      </c>
      <c r="B85" s="219"/>
      <c r="C85" s="221"/>
      <c r="D85" s="221" t="str">
        <f>'Order form'!N204</f>
        <v>HJ-12NP</v>
      </c>
      <c r="E85" s="221" t="s">
        <v>632</v>
      </c>
      <c r="F85" s="228">
        <f>'Order form'!N207</f>
        <v>2.1799999999999997</v>
      </c>
      <c r="G85" s="222">
        <f t="shared" si="13"/>
        <v>0</v>
      </c>
      <c r="H85" s="223"/>
      <c r="I85" s="224"/>
      <c r="J85" s="224">
        <f t="shared" si="15"/>
        <v>0</v>
      </c>
      <c r="K85" s="224" t="s">
        <v>429</v>
      </c>
      <c r="L85" s="224"/>
      <c r="M85" s="224"/>
      <c r="N85" s="225"/>
      <c r="O85" s="395">
        <f t="shared" si="14"/>
        <v>0</v>
      </c>
      <c r="P85" s="1143"/>
    </row>
    <row r="86" spans="1:16" s="226" customFormat="1" ht="12" customHeight="1">
      <c r="A86" s="393" t="s">
        <v>162</v>
      </c>
      <c r="B86" s="219"/>
      <c r="C86" s="221"/>
      <c r="D86" s="221" t="str">
        <f>'Order form'!S204</f>
        <v>HJ-13NP</v>
      </c>
      <c r="E86" s="221" t="s">
        <v>632</v>
      </c>
      <c r="F86" s="228">
        <f>'Order form'!S207</f>
        <v>1.79</v>
      </c>
      <c r="G86" s="222">
        <f t="shared" si="13"/>
        <v>0</v>
      </c>
      <c r="H86" s="223"/>
      <c r="I86" s="224"/>
      <c r="J86" s="224">
        <f t="shared" si="15"/>
        <v>0</v>
      </c>
      <c r="K86" s="224" t="s">
        <v>429</v>
      </c>
      <c r="L86" s="224"/>
      <c r="M86" s="224"/>
      <c r="N86" s="225"/>
      <c r="O86" s="395">
        <f t="shared" si="14"/>
        <v>0</v>
      </c>
      <c r="P86" s="1143"/>
    </row>
    <row r="87" spans="1:16" s="226" customFormat="1" ht="12" customHeight="1">
      <c r="A87" s="393" t="s">
        <v>162</v>
      </c>
      <c r="B87" s="219"/>
      <c r="C87" s="221"/>
      <c r="D87" s="221" t="str">
        <f>'Order form'!X204</f>
        <v>HJ-15NP</v>
      </c>
      <c r="E87" s="221" t="s">
        <v>632</v>
      </c>
      <c r="F87" s="228">
        <f>'Order form'!X207</f>
        <v>1.8800000000000001</v>
      </c>
      <c r="G87" s="222">
        <f t="shared" si="13"/>
        <v>0</v>
      </c>
      <c r="H87" s="223"/>
      <c r="I87" s="224"/>
      <c r="J87" s="224">
        <f t="shared" si="15"/>
        <v>0</v>
      </c>
      <c r="K87" s="224" t="s">
        <v>429</v>
      </c>
      <c r="L87" s="224"/>
      <c r="M87" s="224"/>
      <c r="N87" s="225"/>
      <c r="O87" s="395">
        <f t="shared" si="14"/>
        <v>0</v>
      </c>
      <c r="P87" s="1143"/>
    </row>
    <row r="88" spans="1:16" s="226" customFormat="1" ht="12" customHeight="1">
      <c r="A88" s="393" t="s">
        <v>162</v>
      </c>
      <c r="B88" s="219"/>
      <c r="C88" s="221"/>
      <c r="D88" s="221" t="str">
        <f>'Order form'!D215</f>
        <v>HJ-17NP</v>
      </c>
      <c r="E88" s="221" t="s">
        <v>632</v>
      </c>
      <c r="F88" s="228">
        <f>'Order form'!D218</f>
        <v>1.6300000000000001</v>
      </c>
      <c r="G88" s="222">
        <f t="shared" si="13"/>
        <v>0</v>
      </c>
      <c r="H88" s="223"/>
      <c r="I88" s="224"/>
      <c r="J88" s="224">
        <f t="shared" si="15"/>
        <v>0</v>
      </c>
      <c r="K88" s="224" t="s">
        <v>429</v>
      </c>
      <c r="L88" s="224"/>
      <c r="M88" s="224"/>
      <c r="N88" s="225"/>
      <c r="O88" s="395">
        <f t="shared" si="14"/>
        <v>0</v>
      </c>
      <c r="P88" s="1143"/>
    </row>
    <row r="89" spans="1:16" s="226" customFormat="1" ht="12" customHeight="1">
      <c r="A89" s="393" t="s">
        <v>162</v>
      </c>
      <c r="B89" s="219"/>
      <c r="C89" s="221"/>
      <c r="D89" s="221" t="str">
        <f>'Order form'!I215</f>
        <v>HJ-19NP</v>
      </c>
      <c r="E89" s="221" t="s">
        <v>632</v>
      </c>
      <c r="F89" s="228">
        <f>'Order form'!I218</f>
        <v>2.63</v>
      </c>
      <c r="G89" s="222">
        <f t="shared" si="13"/>
        <v>0</v>
      </c>
      <c r="H89" s="223"/>
      <c r="I89" s="224"/>
      <c r="J89" s="224">
        <f t="shared" si="15"/>
        <v>0</v>
      </c>
      <c r="K89" s="224" t="s">
        <v>429</v>
      </c>
      <c r="L89" s="224"/>
      <c r="M89" s="224"/>
      <c r="N89" s="225"/>
      <c r="O89" s="395">
        <f t="shared" si="14"/>
        <v>0</v>
      </c>
      <c r="P89" s="1143"/>
    </row>
    <row r="90" spans="1:16" s="226" customFormat="1" ht="12" customHeight="1">
      <c r="A90" s="393" t="s">
        <v>162</v>
      </c>
      <c r="B90" s="219"/>
      <c r="C90" s="221"/>
      <c r="D90" s="221" t="str">
        <f>'Order form'!N215</f>
        <v>HJ-90NP</v>
      </c>
      <c r="E90" s="221" t="s">
        <v>632</v>
      </c>
      <c r="F90" s="228">
        <f>'Order form'!N218</f>
        <v>2.2600000000000002</v>
      </c>
      <c r="G90" s="222">
        <f t="shared" si="13"/>
        <v>0</v>
      </c>
      <c r="H90" s="223"/>
      <c r="I90" s="224"/>
      <c r="J90" s="224">
        <f t="shared" si="15"/>
        <v>0</v>
      </c>
      <c r="K90" s="224" t="s">
        <v>429</v>
      </c>
      <c r="L90" s="224"/>
      <c r="M90" s="224"/>
      <c r="N90" s="225"/>
      <c r="O90" s="395">
        <f t="shared" si="14"/>
        <v>0</v>
      </c>
      <c r="P90" s="1144"/>
    </row>
    <row r="91" spans="1:16" s="400" customFormat="1" ht="12.6" customHeight="1">
      <c r="A91" s="393" t="s">
        <v>162</v>
      </c>
      <c r="B91" s="394" t="s">
        <v>498</v>
      </c>
      <c r="C91" s="395">
        <f>'Order form'!F230</f>
        <v>0</v>
      </c>
      <c r="D91" s="395" t="str">
        <f>'Order form'!D228</f>
        <v>AP-ICAP</v>
      </c>
      <c r="E91" s="395" t="str">
        <f>'Order form'!D229</f>
        <v>End cap for standard pipe</v>
      </c>
      <c r="F91" s="396">
        <f>'Order form'!D230</f>
        <v>0.11</v>
      </c>
      <c r="G91" s="396">
        <f t="shared" si="13"/>
        <v>0</v>
      </c>
      <c r="H91" s="397">
        <v>6.6E-3</v>
      </c>
      <c r="I91" s="398">
        <f t="shared" si="4"/>
        <v>0</v>
      </c>
      <c r="J91" s="398">
        <f t="shared" si="15"/>
        <v>0</v>
      </c>
      <c r="K91" s="398" t="s">
        <v>31</v>
      </c>
      <c r="L91" s="398">
        <f>'Order form'!G231</f>
        <v>400</v>
      </c>
      <c r="M91" s="398">
        <f t="shared" si="6"/>
        <v>0</v>
      </c>
      <c r="N91" s="399">
        <f t="shared" ref="N91:N111" si="16">L91*H91</f>
        <v>2.64</v>
      </c>
      <c r="O91" s="395">
        <f t="shared" si="14"/>
        <v>0</v>
      </c>
      <c r="P91" s="417"/>
    </row>
    <row r="92" spans="1:16" s="400" customFormat="1" ht="12.6" customHeight="1">
      <c r="A92" s="393" t="s">
        <v>162</v>
      </c>
      <c r="B92" s="394" t="s">
        <v>498</v>
      </c>
      <c r="C92" s="395">
        <f>'Order form'!K230</f>
        <v>0</v>
      </c>
      <c r="D92" s="395" t="str">
        <f>'Order form'!I228</f>
        <v>AP-ICAP2</v>
      </c>
      <c r="E92" s="395" t="str">
        <f>'Order form'!I229</f>
        <v>End cap for stainless steel pipe</v>
      </c>
      <c r="F92" s="396">
        <f>'Order form'!I230</f>
        <v>0.11</v>
      </c>
      <c r="G92" s="396">
        <f t="shared" si="13"/>
        <v>0</v>
      </c>
      <c r="H92" s="397">
        <v>7.0000000000000001E-3</v>
      </c>
      <c r="I92" s="398">
        <f t="shared" si="4"/>
        <v>0</v>
      </c>
      <c r="J92" s="398">
        <f t="shared" si="15"/>
        <v>0</v>
      </c>
      <c r="K92" s="398" t="s">
        <v>31</v>
      </c>
      <c r="L92" s="398">
        <f>'Order form'!L231</f>
        <v>400</v>
      </c>
      <c r="M92" s="398">
        <f t="shared" si="6"/>
        <v>0</v>
      </c>
      <c r="N92" s="399">
        <f t="shared" si="16"/>
        <v>2.8000000000000003</v>
      </c>
      <c r="O92" s="395">
        <f t="shared" si="14"/>
        <v>0</v>
      </c>
      <c r="P92" s="418"/>
    </row>
    <row r="93" spans="1:16" s="400" customFormat="1" ht="12.6" customHeight="1">
      <c r="A93" s="393" t="s">
        <v>162</v>
      </c>
      <c r="B93" s="394" t="s">
        <v>498</v>
      </c>
      <c r="C93" s="395">
        <f>'Order form'!P230</f>
        <v>0</v>
      </c>
      <c r="D93" s="395" t="str">
        <f>'Order form'!N228</f>
        <v>AP-CNNCT</v>
      </c>
      <c r="E93" s="395" t="str">
        <f>'Order form'!N229</f>
        <v>Pipe connector</v>
      </c>
      <c r="F93" s="396">
        <f>'Order form'!N230</f>
        <v>1.1499999999999999</v>
      </c>
      <c r="G93" s="396">
        <f t="shared" si="13"/>
        <v>0</v>
      </c>
      <c r="H93" s="397">
        <v>0.1144</v>
      </c>
      <c r="I93" s="398">
        <f t="shared" si="4"/>
        <v>0</v>
      </c>
      <c r="J93" s="398">
        <f t="shared" si="15"/>
        <v>0</v>
      </c>
      <c r="K93" s="398" t="s">
        <v>31</v>
      </c>
      <c r="L93" s="398">
        <f>'Order form'!V231</f>
        <v>100</v>
      </c>
      <c r="M93" s="398">
        <f t="shared" si="6"/>
        <v>0</v>
      </c>
      <c r="N93" s="399">
        <f t="shared" si="16"/>
        <v>11.44</v>
      </c>
      <c r="O93" s="395">
        <f t="shared" si="14"/>
        <v>0</v>
      </c>
      <c r="P93" s="418"/>
    </row>
    <row r="94" spans="1:16" s="400" customFormat="1" ht="12.6" customHeight="1">
      <c r="A94" s="393" t="s">
        <v>162</v>
      </c>
      <c r="B94" s="394" t="s">
        <v>168</v>
      </c>
      <c r="C94" s="395">
        <f>'Order form'!U230</f>
        <v>0</v>
      </c>
      <c r="D94" s="395" t="str">
        <f>'Order form'!S228</f>
        <v>AP-CNNCT2</v>
      </c>
      <c r="E94" s="395" t="str">
        <f>'Order form'!S229</f>
        <v>Pipe connector for stainless steel pipe</v>
      </c>
      <c r="F94" s="396">
        <f>'Order form'!S230</f>
        <v>1.1499999999999999</v>
      </c>
      <c r="G94" s="396">
        <f t="shared" si="13"/>
        <v>0</v>
      </c>
      <c r="H94" s="397">
        <v>0.1144</v>
      </c>
      <c r="I94" s="398">
        <f t="shared" si="4"/>
        <v>0</v>
      </c>
      <c r="J94" s="398">
        <f t="shared" si="15"/>
        <v>0</v>
      </c>
      <c r="K94" s="398" t="s">
        <v>31</v>
      </c>
      <c r="L94" s="398">
        <f>'Order form'!Q231</f>
        <v>100</v>
      </c>
      <c r="M94" s="398">
        <f t="shared" si="6"/>
        <v>0</v>
      </c>
      <c r="N94" s="399">
        <f t="shared" si="16"/>
        <v>11.44</v>
      </c>
      <c r="O94" s="395">
        <f t="shared" si="14"/>
        <v>0</v>
      </c>
      <c r="P94" s="418"/>
    </row>
    <row r="95" spans="1:16" s="400" customFormat="1" ht="12.6" customHeight="1">
      <c r="A95" s="393" t="s">
        <v>162</v>
      </c>
      <c r="B95" s="394" t="s">
        <v>498</v>
      </c>
      <c r="C95" s="395">
        <f>'Order form'!Z230+('Order form'!K140*1)+('Order form'!K151*2)+('Order form'!P207*1)+('Order form'!K218*2)</f>
        <v>0</v>
      </c>
      <c r="D95" s="395" t="str">
        <f>'Order form'!X228</f>
        <v>AP-HINGE</v>
      </c>
      <c r="E95" s="395" t="str">
        <f>'Order form'!X229</f>
        <v>Hinge bracket: use with HJ-12 and HJ-19</v>
      </c>
      <c r="F95" s="396">
        <f>'Order form'!X230</f>
        <v>0.25</v>
      </c>
      <c r="G95" s="396">
        <f t="shared" si="13"/>
        <v>0</v>
      </c>
      <c r="H95" s="397">
        <v>1.32E-2</v>
      </c>
      <c r="I95" s="398">
        <f t="shared" si="4"/>
        <v>0</v>
      </c>
      <c r="J95" s="398">
        <f t="shared" si="15"/>
        <v>0</v>
      </c>
      <c r="K95" s="398" t="s">
        <v>31</v>
      </c>
      <c r="L95" s="398">
        <f>'Order form'!AA231</f>
        <v>150</v>
      </c>
      <c r="M95" s="398">
        <f t="shared" si="6"/>
        <v>0</v>
      </c>
      <c r="N95" s="399">
        <f t="shared" si="16"/>
        <v>1.98</v>
      </c>
      <c r="O95" s="395">
        <f t="shared" si="14"/>
        <v>0</v>
      </c>
      <c r="P95" s="418"/>
    </row>
    <row r="96" spans="1:16" s="400" customFormat="1" ht="12.6" customHeight="1">
      <c r="A96" s="393" t="s">
        <v>162</v>
      </c>
      <c r="B96" s="394" t="s">
        <v>168</v>
      </c>
      <c r="C96" s="395">
        <f>'Order form'!F241</f>
        <v>0</v>
      </c>
      <c r="D96" s="395" t="str">
        <f>'Order form'!D239</f>
        <v>AF-ILEV</v>
      </c>
      <c r="E96" s="395" t="str">
        <f>'Order form'!D240</f>
        <v>Inside leveler</v>
      </c>
      <c r="F96" s="396">
        <f>'Order form'!D241</f>
        <v>2.25</v>
      </c>
      <c r="G96" s="396">
        <f t="shared" si="13"/>
        <v>0</v>
      </c>
      <c r="H96" s="397">
        <v>0.32119999999999999</v>
      </c>
      <c r="I96" s="398">
        <f t="shared" si="4"/>
        <v>0</v>
      </c>
      <c r="J96" s="398">
        <f t="shared" si="15"/>
        <v>0</v>
      </c>
      <c r="K96" s="398" t="s">
        <v>31</v>
      </c>
      <c r="L96" s="398">
        <f>'Order form'!G242</f>
        <v>100</v>
      </c>
      <c r="M96" s="398">
        <f t="shared" si="6"/>
        <v>0</v>
      </c>
      <c r="N96" s="399">
        <f t="shared" si="16"/>
        <v>32.119999999999997</v>
      </c>
      <c r="O96" s="395">
        <f t="shared" si="14"/>
        <v>0</v>
      </c>
      <c r="P96" s="418"/>
    </row>
    <row r="97" spans="1:16" s="400" customFormat="1" ht="12.6" customHeight="1">
      <c r="A97" s="393" t="s">
        <v>162</v>
      </c>
      <c r="B97" s="394" t="s">
        <v>168</v>
      </c>
      <c r="C97" s="395">
        <f>'Order form'!K241</f>
        <v>0</v>
      </c>
      <c r="D97" s="395" t="str">
        <f>'Order form'!I239</f>
        <v>AF-OLEV</v>
      </c>
      <c r="E97" s="395" t="str">
        <f>'Order form'!I240</f>
        <v>Outside leveler</v>
      </c>
      <c r="F97" s="396">
        <f>'Order form'!I241</f>
        <v>2.25</v>
      </c>
      <c r="G97" s="396">
        <f t="shared" si="13"/>
        <v>0</v>
      </c>
      <c r="H97" s="397">
        <v>0.28599999999999998</v>
      </c>
      <c r="I97" s="398">
        <f t="shared" si="4"/>
        <v>0</v>
      </c>
      <c r="J97" s="398">
        <f t="shared" si="15"/>
        <v>0</v>
      </c>
      <c r="K97" s="398" t="s">
        <v>31</v>
      </c>
      <c r="L97" s="398">
        <f>'Order form'!L242</f>
        <v>100</v>
      </c>
      <c r="M97" s="398">
        <f t="shared" si="6"/>
        <v>0</v>
      </c>
      <c r="N97" s="399">
        <f t="shared" si="16"/>
        <v>28.599999999999998</v>
      </c>
      <c r="O97" s="395">
        <f t="shared" si="14"/>
        <v>0</v>
      </c>
      <c r="P97" s="418"/>
    </row>
    <row r="98" spans="1:16" s="400" customFormat="1" ht="12.6" customHeight="1">
      <c r="A98" s="393" t="s">
        <v>162</v>
      </c>
      <c r="B98" s="394" t="s">
        <v>168</v>
      </c>
      <c r="C98" s="395">
        <f>'Order form'!P241</f>
        <v>0</v>
      </c>
      <c r="D98" s="395" t="str">
        <f>'Order form'!N239</f>
        <v>AF-RUB</v>
      </c>
      <c r="E98" s="395" t="str">
        <f>'Order form'!N240</f>
        <v>Rubber foot</v>
      </c>
      <c r="F98" s="396">
        <f>'Order form'!N241</f>
        <v>0.5</v>
      </c>
      <c r="G98" s="396">
        <f t="shared" si="13"/>
        <v>0</v>
      </c>
      <c r="H98" s="397">
        <v>8.2280000000000006E-2</v>
      </c>
      <c r="I98" s="398">
        <f t="shared" si="4"/>
        <v>0</v>
      </c>
      <c r="J98" s="398">
        <f t="shared" si="15"/>
        <v>0</v>
      </c>
      <c r="K98" s="398" t="s">
        <v>31</v>
      </c>
      <c r="L98" s="398">
        <f>'Order form'!Q242</f>
        <v>100</v>
      </c>
      <c r="M98" s="398">
        <f t="shared" si="6"/>
        <v>0</v>
      </c>
      <c r="N98" s="399">
        <f t="shared" si="16"/>
        <v>8.2279999999999998</v>
      </c>
      <c r="O98" s="395">
        <f t="shared" si="14"/>
        <v>0</v>
      </c>
      <c r="P98" s="418"/>
    </row>
    <row r="99" spans="1:16" s="400" customFormat="1" ht="12.6" customHeight="1">
      <c r="A99" s="393" t="s">
        <v>162</v>
      </c>
      <c r="B99" s="394" t="s">
        <v>168</v>
      </c>
      <c r="C99" s="395">
        <f>'Order form'!U241</f>
        <v>0</v>
      </c>
      <c r="D99" s="395" t="str">
        <f>'Order form'!S239</f>
        <v>AF-OSM</v>
      </c>
      <c r="E99" s="395" t="str">
        <f>'Order form'!S240</f>
        <v>Stanchion mount</v>
      </c>
      <c r="F99" s="396">
        <f>'Order form'!S241</f>
        <v>3.3</v>
      </c>
      <c r="G99" s="396">
        <f t="shared" si="13"/>
        <v>0</v>
      </c>
      <c r="H99" s="397">
        <v>2.2000000000000002</v>
      </c>
      <c r="I99" s="398">
        <f t="shared" si="4"/>
        <v>0</v>
      </c>
      <c r="J99" s="398">
        <f t="shared" si="15"/>
        <v>0</v>
      </c>
      <c r="K99" s="398" t="s">
        <v>31</v>
      </c>
      <c r="L99" s="398">
        <f>'Order form'!V242</f>
        <v>15</v>
      </c>
      <c r="M99" s="398">
        <f t="shared" si="6"/>
        <v>0</v>
      </c>
      <c r="N99" s="399">
        <f t="shared" si="16"/>
        <v>33</v>
      </c>
      <c r="O99" s="395">
        <f t="shared" si="14"/>
        <v>0</v>
      </c>
      <c r="P99" s="418"/>
    </row>
    <row r="100" spans="1:16" s="400" customFormat="1" ht="12.6" customHeight="1">
      <c r="A100" s="393" t="s">
        <v>162</v>
      </c>
      <c r="B100" s="394" t="s">
        <v>168</v>
      </c>
      <c r="C100" s="395">
        <f>'Order form'!Z241</f>
        <v>0</v>
      </c>
      <c r="D100" s="395" t="str">
        <f>'Order form'!X239</f>
        <v>AF-STACK</v>
      </c>
      <c r="E100" s="395" t="str">
        <f>'Order form'!X240</f>
        <v>Stacking cap</v>
      </c>
      <c r="F100" s="396">
        <f>'Order form'!X241</f>
        <v>4</v>
      </c>
      <c r="G100" s="396">
        <f t="shared" si="13"/>
        <v>0</v>
      </c>
      <c r="H100" s="397">
        <v>0.86899999999999999</v>
      </c>
      <c r="I100" s="398">
        <f t="shared" si="4"/>
        <v>0</v>
      </c>
      <c r="J100" s="398">
        <f t="shared" si="15"/>
        <v>0</v>
      </c>
      <c r="K100" s="398" t="s">
        <v>31</v>
      </c>
      <c r="L100" s="398">
        <f>'Order form'!AA242</f>
        <v>6</v>
      </c>
      <c r="M100" s="398">
        <f t="shared" si="6"/>
        <v>0</v>
      </c>
      <c r="N100" s="399">
        <f t="shared" si="16"/>
        <v>5.2140000000000004</v>
      </c>
      <c r="O100" s="395">
        <f t="shared" si="14"/>
        <v>0</v>
      </c>
      <c r="P100" s="418"/>
    </row>
    <row r="101" spans="1:16" s="400" customFormat="1" ht="12.6" customHeight="1">
      <c r="A101" s="393" t="s">
        <v>162</v>
      </c>
      <c r="B101" s="394" t="s">
        <v>498</v>
      </c>
      <c r="C101" s="395">
        <f>'Order form'!F252</f>
        <v>0</v>
      </c>
      <c r="D101" s="395" t="str">
        <f>'Order form'!D250</f>
        <v>AO-SHIM</v>
      </c>
      <c r="E101" s="395" t="str">
        <f>'Order form'!D251</f>
        <v>Levelling shim for surface</v>
      </c>
      <c r="F101" s="396">
        <f>'Order form'!D252</f>
        <v>0.15</v>
      </c>
      <c r="G101" s="396">
        <f t="shared" ref="G101:G109" si="17">F101*C101</f>
        <v>0</v>
      </c>
      <c r="H101" s="397">
        <v>1.0999999999999999E-2</v>
      </c>
      <c r="I101" s="398">
        <f t="shared" ref="I101:I109" si="18">C101*H101</f>
        <v>0</v>
      </c>
      <c r="J101" s="398">
        <f t="shared" ref="J101:J109" si="19">I101*1.1</f>
        <v>0</v>
      </c>
      <c r="K101" s="398" t="s">
        <v>31</v>
      </c>
      <c r="L101" s="398">
        <f>'Order form'!G253</f>
        <v>300</v>
      </c>
      <c r="M101" s="398">
        <f t="shared" si="6"/>
        <v>0</v>
      </c>
      <c r="N101" s="399">
        <f t="shared" ref="N101:N109" si="20">L101*H101</f>
        <v>3.3</v>
      </c>
      <c r="O101" s="395">
        <f t="shared" si="14"/>
        <v>0</v>
      </c>
      <c r="P101" s="418"/>
    </row>
    <row r="102" spans="1:16" s="400" customFormat="1" ht="12.6" customHeight="1">
      <c r="A102" s="393" t="s">
        <v>162</v>
      </c>
      <c r="B102" s="394" t="s">
        <v>498</v>
      </c>
      <c r="C102" s="395">
        <f>'Order form'!K252</f>
        <v>0</v>
      </c>
      <c r="D102" s="395" t="str">
        <f>'Order form'!I250</f>
        <v>AO-CLIP</v>
      </c>
      <c r="E102" s="395" t="str">
        <f>'Order form'!I251</f>
        <v>Surface clip</v>
      </c>
      <c r="F102" s="396">
        <f>'Order form'!I252</f>
        <v>0.35</v>
      </c>
      <c r="G102" s="396">
        <f t="shared" si="17"/>
        <v>0</v>
      </c>
      <c r="H102" s="397">
        <v>2.86E-2</v>
      </c>
      <c r="I102" s="398">
        <f t="shared" si="18"/>
        <v>0</v>
      </c>
      <c r="J102" s="398">
        <f t="shared" si="19"/>
        <v>0</v>
      </c>
      <c r="K102" s="398" t="s">
        <v>31</v>
      </c>
      <c r="L102" s="398">
        <f>'Order form'!L253</f>
        <v>100</v>
      </c>
      <c r="M102" s="398">
        <f t="shared" si="6"/>
        <v>0</v>
      </c>
      <c r="N102" s="399">
        <f t="shared" si="20"/>
        <v>2.86</v>
      </c>
      <c r="O102" s="395">
        <f t="shared" si="14"/>
        <v>0</v>
      </c>
      <c r="P102" s="418"/>
    </row>
    <row r="103" spans="1:16" s="400" customFormat="1" ht="12.6" customHeight="1">
      <c r="A103" s="393" t="s">
        <v>162</v>
      </c>
      <c r="B103" s="394" t="s">
        <v>168</v>
      </c>
      <c r="C103" s="395">
        <f>'Order form'!P252</f>
        <v>0</v>
      </c>
      <c r="D103" s="395" t="str">
        <f>'Order form'!N250</f>
        <v>AO-EMT1</v>
      </c>
      <c r="E103" s="395" t="str">
        <f>'Order form'!N251</f>
        <v>Pipe clamp single mount</v>
      </c>
      <c r="F103" s="396">
        <f>'Order form'!N252</f>
        <v>0.18</v>
      </c>
      <c r="G103" s="396">
        <f t="shared" si="17"/>
        <v>0</v>
      </c>
      <c r="H103" s="397">
        <v>4.3999999999999997E-2</v>
      </c>
      <c r="I103" s="398">
        <f t="shared" si="18"/>
        <v>0</v>
      </c>
      <c r="J103" s="398">
        <f t="shared" si="19"/>
        <v>0</v>
      </c>
      <c r="K103" s="398" t="s">
        <v>31</v>
      </c>
      <c r="L103" s="398">
        <f>'Order form'!Q253</f>
        <v>230</v>
      </c>
      <c r="M103" s="398">
        <f t="shared" si="6"/>
        <v>0</v>
      </c>
      <c r="N103" s="399">
        <f t="shared" si="20"/>
        <v>10.119999999999999</v>
      </c>
      <c r="O103" s="395">
        <f t="shared" si="14"/>
        <v>0</v>
      </c>
      <c r="P103" s="418"/>
    </row>
    <row r="104" spans="1:16" s="400" customFormat="1" ht="12.6" customHeight="1">
      <c r="A104" s="393" t="s">
        <v>162</v>
      </c>
      <c r="B104" s="394" t="s">
        <v>168</v>
      </c>
      <c r="C104" s="395">
        <f>'Order form'!U252</f>
        <v>0</v>
      </c>
      <c r="D104" s="395" t="str">
        <f>'Order form'!S250</f>
        <v>AO-EMT2</v>
      </c>
      <c r="E104" s="395" t="str">
        <f>'Order form'!S251</f>
        <v>Pipe clamp double mount</v>
      </c>
      <c r="F104" s="396">
        <f>'Order form'!S252</f>
        <v>0.18</v>
      </c>
      <c r="G104" s="396">
        <f t="shared" si="17"/>
        <v>0</v>
      </c>
      <c r="H104" s="397">
        <v>0.57199999999999995</v>
      </c>
      <c r="I104" s="398">
        <f t="shared" si="18"/>
        <v>0</v>
      </c>
      <c r="J104" s="398">
        <f t="shared" si="19"/>
        <v>0</v>
      </c>
      <c r="K104" s="398" t="s">
        <v>31</v>
      </c>
      <c r="L104" s="398">
        <f>'Order form'!V253</f>
        <v>200</v>
      </c>
      <c r="M104" s="398">
        <f t="shared" si="6"/>
        <v>0</v>
      </c>
      <c r="N104" s="399">
        <f t="shared" si="20"/>
        <v>114.39999999999999</v>
      </c>
      <c r="O104" s="395">
        <f t="shared" si="14"/>
        <v>0</v>
      </c>
      <c r="P104" s="418"/>
    </row>
    <row r="105" spans="1:16" s="400" customFormat="1" ht="12.6" customHeight="1">
      <c r="A105" s="393" t="s">
        <v>162</v>
      </c>
      <c r="B105" s="394" t="s">
        <v>168</v>
      </c>
      <c r="C105" s="395">
        <f>'Order form'!F263</f>
        <v>0</v>
      </c>
      <c r="D105" s="395" t="str">
        <f>'Order form'!D261</f>
        <v>AI-CORNER</v>
      </c>
      <c r="E105" s="395" t="str">
        <f>'Order form'!D262</f>
        <v>Corner bracket</v>
      </c>
      <c r="F105" s="396">
        <f>'Order form'!D263</f>
        <v>1.75</v>
      </c>
      <c r="G105" s="396">
        <f t="shared" si="17"/>
        <v>0</v>
      </c>
      <c r="H105" s="397">
        <v>0.15840000000000001</v>
      </c>
      <c r="I105" s="398">
        <f t="shared" si="18"/>
        <v>0</v>
      </c>
      <c r="J105" s="398">
        <f t="shared" si="19"/>
        <v>0</v>
      </c>
      <c r="K105" s="398" t="s">
        <v>31</v>
      </c>
      <c r="L105" s="398">
        <f>'Order form'!G264</f>
        <v>60</v>
      </c>
      <c r="M105" s="398">
        <f t="shared" si="6"/>
        <v>0</v>
      </c>
      <c r="N105" s="399">
        <f t="shared" si="20"/>
        <v>9.5040000000000013</v>
      </c>
      <c r="O105" s="395">
        <f t="shared" si="14"/>
        <v>0</v>
      </c>
      <c r="P105" s="418"/>
    </row>
    <row r="106" spans="1:16" s="400" customFormat="1" ht="12.6" customHeight="1">
      <c r="A106" s="393" t="s">
        <v>162</v>
      </c>
      <c r="B106" s="394" t="s">
        <v>168</v>
      </c>
      <c r="C106" s="395">
        <f>'Order form'!K263</f>
        <v>0</v>
      </c>
      <c r="D106" s="395" t="str">
        <f>'Order form'!I261</f>
        <v>AI-SUPPORT</v>
      </c>
      <c r="E106" s="395" t="str">
        <f>'Order form'!I262</f>
        <v>Bracket central support : Use with AI-CORNER</v>
      </c>
      <c r="F106" s="396">
        <f>'Order form'!I263</f>
        <v>0.55000000000000004</v>
      </c>
      <c r="G106" s="396">
        <f t="shared" si="17"/>
        <v>0</v>
      </c>
      <c r="H106" s="397">
        <v>0.154</v>
      </c>
      <c r="I106" s="398">
        <f t="shared" si="18"/>
        <v>0</v>
      </c>
      <c r="J106" s="398">
        <f t="shared" si="19"/>
        <v>0</v>
      </c>
      <c r="K106" s="398" t="s">
        <v>31</v>
      </c>
      <c r="L106" s="398">
        <f>'Order form'!L264</f>
        <v>100</v>
      </c>
      <c r="M106" s="398">
        <f t="shared" si="6"/>
        <v>0</v>
      </c>
      <c r="N106" s="399">
        <f t="shared" si="20"/>
        <v>15.4</v>
      </c>
      <c r="O106" s="395">
        <f t="shared" si="14"/>
        <v>0</v>
      </c>
      <c r="P106" s="418"/>
    </row>
    <row r="107" spans="1:16" s="400" customFormat="1" ht="12.6" customHeight="1">
      <c r="A107" s="393" t="s">
        <v>162</v>
      </c>
      <c r="B107" s="394" t="s">
        <v>168</v>
      </c>
      <c r="C107" s="395">
        <f>'Order form'!P263</f>
        <v>0</v>
      </c>
      <c r="D107" s="395" t="str">
        <f>'Order form'!N261</f>
        <v>AI-CENTER</v>
      </c>
      <c r="E107" s="395" t="str">
        <f>'Order form'!N262</f>
        <v>Pipe central support :           Use with AI-CORNER</v>
      </c>
      <c r="F107" s="396">
        <f>'Order form'!N263</f>
        <v>1.75</v>
      </c>
      <c r="G107" s="396">
        <f t="shared" si="17"/>
        <v>0</v>
      </c>
      <c r="H107" s="397">
        <v>0.29039999999999999</v>
      </c>
      <c r="I107" s="398">
        <f t="shared" si="18"/>
        <v>0</v>
      </c>
      <c r="J107" s="398">
        <f t="shared" si="19"/>
        <v>0</v>
      </c>
      <c r="K107" s="398" t="s">
        <v>31</v>
      </c>
      <c r="L107" s="398">
        <f>'Order form'!Q264</f>
        <v>60</v>
      </c>
      <c r="M107" s="398">
        <f t="shared" si="6"/>
        <v>0</v>
      </c>
      <c r="N107" s="399">
        <f t="shared" si="20"/>
        <v>17.423999999999999</v>
      </c>
      <c r="O107" s="395">
        <f t="shared" si="14"/>
        <v>0</v>
      </c>
      <c r="P107" s="418"/>
    </row>
    <row r="108" spans="1:16" s="400" customFormat="1" ht="12.6" customHeight="1">
      <c r="A108" s="393" t="s">
        <v>162</v>
      </c>
      <c r="B108" s="394" t="s">
        <v>168</v>
      </c>
      <c r="C108" s="395">
        <f>'Order form'!F274</f>
        <v>0</v>
      </c>
      <c r="D108" s="395" t="str">
        <f>'Order form'!D272</f>
        <v>AS-DIVIDER</v>
      </c>
      <c r="E108" s="395" t="str">
        <f>'Order form'!D273</f>
        <v>Middle stopper</v>
      </c>
      <c r="F108" s="396">
        <f>'Order form'!D274</f>
        <v>1</v>
      </c>
      <c r="G108" s="396">
        <f t="shared" si="17"/>
        <v>0</v>
      </c>
      <c r="H108" s="397">
        <v>1.9800000000000002E-2</v>
      </c>
      <c r="I108" s="398">
        <f t="shared" si="18"/>
        <v>0</v>
      </c>
      <c r="J108" s="398">
        <f t="shared" si="19"/>
        <v>0</v>
      </c>
      <c r="K108" s="398" t="s">
        <v>31</v>
      </c>
      <c r="L108" s="398">
        <f>'Order form'!G275</f>
        <v>200</v>
      </c>
      <c r="M108" s="398">
        <f t="shared" si="6"/>
        <v>0</v>
      </c>
      <c r="N108" s="399">
        <f t="shared" si="20"/>
        <v>3.9600000000000004</v>
      </c>
      <c r="O108" s="395">
        <f t="shared" si="14"/>
        <v>0</v>
      </c>
      <c r="P108" s="418"/>
    </row>
    <row r="109" spans="1:16" s="400" customFormat="1" ht="12.6" customHeight="1">
      <c r="A109" s="393" t="s">
        <v>162</v>
      </c>
      <c r="B109" s="394" t="s">
        <v>168</v>
      </c>
      <c r="C109" s="395">
        <f>'Order form'!K274</f>
        <v>0</v>
      </c>
      <c r="D109" s="395" t="str">
        <f>'Order form'!I272</f>
        <v>AS-SWIVEL</v>
      </c>
      <c r="E109" s="395" t="str">
        <f>'Order form'!I273</f>
        <v>Swivel stopper</v>
      </c>
      <c r="F109" s="396">
        <f>'Order form'!I274</f>
        <v>6</v>
      </c>
      <c r="G109" s="396">
        <f t="shared" si="17"/>
        <v>0</v>
      </c>
      <c r="H109" s="397">
        <v>0.50600000000000001</v>
      </c>
      <c r="I109" s="398">
        <f t="shared" si="18"/>
        <v>0</v>
      </c>
      <c r="J109" s="398">
        <f t="shared" si="19"/>
        <v>0</v>
      </c>
      <c r="K109" s="398" t="s">
        <v>31</v>
      </c>
      <c r="L109" s="398">
        <f>'Order form'!L275</f>
        <v>100</v>
      </c>
      <c r="M109" s="398">
        <f t="shared" si="6"/>
        <v>0</v>
      </c>
      <c r="N109" s="399">
        <f t="shared" si="20"/>
        <v>50.6</v>
      </c>
      <c r="O109" s="395">
        <f t="shared" si="14"/>
        <v>0</v>
      </c>
      <c r="P109" s="418"/>
    </row>
    <row r="110" spans="1:16" s="400" customFormat="1" ht="12.6" customHeight="1">
      <c r="A110" s="393" t="s">
        <v>162</v>
      </c>
      <c r="B110" s="394" t="s">
        <v>168</v>
      </c>
      <c r="C110" s="395">
        <f>'Order form'!P274</f>
        <v>0</v>
      </c>
      <c r="D110" s="395" t="str">
        <f>'Order form'!N272</f>
        <v>AS-REST</v>
      </c>
      <c r="E110" s="395" t="str">
        <f>'Order form'!N273</f>
        <v>Pipe rest</v>
      </c>
      <c r="F110" s="396">
        <f>'Order form'!N274</f>
        <v>2.25</v>
      </c>
      <c r="G110" s="396">
        <f t="shared" si="13"/>
        <v>0</v>
      </c>
      <c r="H110" s="397">
        <v>0.1386</v>
      </c>
      <c r="I110" s="398">
        <f t="shared" si="4"/>
        <v>0</v>
      </c>
      <c r="J110" s="398">
        <f t="shared" si="15"/>
        <v>0</v>
      </c>
      <c r="K110" s="398" t="s">
        <v>31</v>
      </c>
      <c r="L110" s="398">
        <f>'Order form'!Q275</f>
        <v>105</v>
      </c>
      <c r="M110" s="398">
        <f t="shared" si="6"/>
        <v>0</v>
      </c>
      <c r="N110" s="399">
        <f t="shared" si="16"/>
        <v>14.553000000000001</v>
      </c>
      <c r="O110" s="395">
        <f t="shared" si="14"/>
        <v>0</v>
      </c>
      <c r="P110" s="418"/>
    </row>
    <row r="111" spans="1:16" s="400" customFormat="1" ht="12.6" customHeight="1">
      <c r="A111" s="393" t="s">
        <v>162</v>
      </c>
      <c r="B111" s="394" t="s">
        <v>168</v>
      </c>
      <c r="C111" s="395">
        <f>'Order form'!F285</f>
        <v>0</v>
      </c>
      <c r="D111" s="395" t="str">
        <f>'Order form'!D283</f>
        <v>AC-SKID</v>
      </c>
      <c r="E111" s="395" t="str">
        <f>'Order form'!D284</f>
        <v>Corner metal support</v>
      </c>
      <c r="F111" s="396">
        <f>'Order form'!D285</f>
        <v>3.75</v>
      </c>
      <c r="G111" s="396">
        <f t="shared" si="13"/>
        <v>0</v>
      </c>
      <c r="H111" s="397">
        <v>0.60499999999999998</v>
      </c>
      <c r="I111" s="398">
        <f t="shared" si="4"/>
        <v>0</v>
      </c>
      <c r="J111" s="398">
        <f t="shared" si="15"/>
        <v>0</v>
      </c>
      <c r="K111" s="398" t="s">
        <v>31</v>
      </c>
      <c r="L111" s="398">
        <f>'Order form'!G286</f>
        <v>20</v>
      </c>
      <c r="M111" s="398">
        <f t="shared" si="6"/>
        <v>0</v>
      </c>
      <c r="N111" s="399">
        <f t="shared" si="16"/>
        <v>12.1</v>
      </c>
      <c r="O111" s="395">
        <f t="shared" si="14"/>
        <v>0</v>
      </c>
      <c r="P111" s="418"/>
    </row>
    <row r="112" spans="1:16" s="400" customFormat="1" ht="12.6" customHeight="1">
      <c r="A112" s="393" t="s">
        <v>162</v>
      </c>
      <c r="B112" s="394" t="s">
        <v>168</v>
      </c>
      <c r="C112" s="395">
        <f>'Order form'!K285</f>
        <v>0</v>
      </c>
      <c r="D112" s="395" t="str">
        <f>'Order form'!I283</f>
        <v>AC-STRAP</v>
      </c>
      <c r="E112" s="395" t="str">
        <f>'Order form'!I284</f>
        <v>Quick release strap</v>
      </c>
      <c r="F112" s="396">
        <f>'Order form'!I285</f>
        <v>5.25</v>
      </c>
      <c r="G112" s="396">
        <f t="shared" si="13"/>
        <v>0</v>
      </c>
      <c r="H112" s="397">
        <v>0.31900000000000001</v>
      </c>
      <c r="I112" s="398">
        <f t="shared" si="4"/>
        <v>0</v>
      </c>
      <c r="J112" s="398">
        <f t="shared" si="15"/>
        <v>0</v>
      </c>
      <c r="K112" s="398" t="s">
        <v>31</v>
      </c>
      <c r="L112" s="398">
        <f>'Order form'!L286</f>
        <v>50</v>
      </c>
      <c r="M112" s="398">
        <f t="shared" si="6"/>
        <v>0</v>
      </c>
      <c r="N112" s="399">
        <f t="shared" ref="N112:N125" si="21">L112*H112</f>
        <v>15.950000000000001</v>
      </c>
      <c r="O112" s="395">
        <f t="shared" si="14"/>
        <v>0</v>
      </c>
      <c r="P112" s="418"/>
    </row>
    <row r="113" spans="1:16" s="400" customFormat="1" ht="12.6" customHeight="1">
      <c r="A113" s="393" t="s">
        <v>162</v>
      </c>
      <c r="B113" s="394" t="s">
        <v>498</v>
      </c>
      <c r="C113" s="395">
        <f>'Order form'!P285</f>
        <v>0</v>
      </c>
      <c r="D113" s="395" t="str">
        <f>'Order form'!N283</f>
        <v>AL-TAG1</v>
      </c>
      <c r="E113" s="395" t="str">
        <f>'Order form'!N284</f>
        <v>Hard label holder:                1'' X 8''</v>
      </c>
      <c r="F113" s="396">
        <f>'Order form'!N285</f>
        <v>2.25</v>
      </c>
      <c r="G113" s="396">
        <f t="shared" si="13"/>
        <v>0</v>
      </c>
      <c r="H113" s="397">
        <v>6.1600000000000002E-2</v>
      </c>
      <c r="I113" s="398">
        <f t="shared" si="4"/>
        <v>0</v>
      </c>
      <c r="J113" s="398">
        <f t="shared" si="15"/>
        <v>0</v>
      </c>
      <c r="K113" s="398" t="s">
        <v>31</v>
      </c>
      <c r="L113" s="398">
        <f>'Order form'!Q286</f>
        <v>45</v>
      </c>
      <c r="M113" s="398">
        <f t="shared" si="6"/>
        <v>0</v>
      </c>
      <c r="N113" s="399">
        <f t="shared" si="21"/>
        <v>2.7720000000000002</v>
      </c>
      <c r="O113" s="395">
        <f t="shared" si="14"/>
        <v>0</v>
      </c>
      <c r="P113" s="418"/>
    </row>
    <row r="114" spans="1:16" s="400" customFormat="1" ht="12.6" customHeight="1">
      <c r="A114" s="393" t="s">
        <v>162</v>
      </c>
      <c r="B114" s="394" t="s">
        <v>498</v>
      </c>
      <c r="C114" s="395">
        <f>'Order form'!U285</f>
        <v>0</v>
      </c>
      <c r="D114" s="395" t="str">
        <f>'Order form'!S283</f>
        <v>AL-TAG2</v>
      </c>
      <c r="E114" s="395" t="str">
        <f>'Order form'!S284</f>
        <v>Hard label holder:               2'' X 4''</v>
      </c>
      <c r="F114" s="396">
        <f>'Order form'!S285</f>
        <v>2.25</v>
      </c>
      <c r="G114" s="396">
        <f t="shared" si="13"/>
        <v>0</v>
      </c>
      <c r="H114" s="397">
        <v>8.6019999999999999E-2</v>
      </c>
      <c r="I114" s="398">
        <f t="shared" ref="I114" si="22">C114*H114</f>
        <v>0</v>
      </c>
      <c r="J114" s="398">
        <f t="shared" si="15"/>
        <v>0</v>
      </c>
      <c r="K114" s="398" t="s">
        <v>31</v>
      </c>
      <c r="L114" s="398">
        <f>'Order form'!V286</f>
        <v>40</v>
      </c>
      <c r="M114" s="398">
        <f t="shared" ref="M114:M122" si="23">C114/L114</f>
        <v>0</v>
      </c>
      <c r="N114" s="399">
        <f t="shared" si="21"/>
        <v>3.4407999999999999</v>
      </c>
      <c r="O114" s="395">
        <f t="shared" si="14"/>
        <v>0</v>
      </c>
      <c r="P114" s="418"/>
    </row>
    <row r="115" spans="1:16" s="400" customFormat="1" ht="12.6" customHeight="1">
      <c r="A115" s="393" t="s">
        <v>162</v>
      </c>
      <c r="B115" s="394" t="s">
        <v>168</v>
      </c>
      <c r="C115" s="395">
        <f>'Order form'!F296</f>
        <v>0</v>
      </c>
      <c r="D115" s="395" t="str">
        <f>'Order form'!D294</f>
        <v>AW-HOOK</v>
      </c>
      <c r="E115" s="395" t="str">
        <f>'Order form'!D295</f>
        <v>Front pipe hanger</v>
      </c>
      <c r="F115" s="396">
        <f>'Order form'!D296</f>
        <v>0.8</v>
      </c>
      <c r="G115" s="396">
        <f t="shared" si="13"/>
        <v>0</v>
      </c>
      <c r="H115" s="397">
        <v>4.3999999999999997E-2</v>
      </c>
      <c r="I115" s="398">
        <f t="shared" ref="I115:I142" si="24">C115*H115</f>
        <v>0</v>
      </c>
      <c r="J115" s="398">
        <f t="shared" si="15"/>
        <v>0</v>
      </c>
      <c r="K115" s="398" t="s">
        <v>31</v>
      </c>
      <c r="L115" s="398">
        <f>'Order form'!G297</f>
        <v>200</v>
      </c>
      <c r="M115" s="398">
        <f t="shared" si="23"/>
        <v>0</v>
      </c>
      <c r="N115" s="399">
        <f t="shared" si="21"/>
        <v>8.7999999999999989</v>
      </c>
      <c r="O115" s="395">
        <f t="shared" si="14"/>
        <v>0</v>
      </c>
      <c r="P115" s="418"/>
    </row>
    <row r="116" spans="1:16" s="400" customFormat="1" ht="12.6" customHeight="1">
      <c r="A116" s="393" t="s">
        <v>162</v>
      </c>
      <c r="B116" s="394" t="s">
        <v>168</v>
      </c>
      <c r="C116" s="395">
        <f>'Order form'!K296</f>
        <v>0</v>
      </c>
      <c r="D116" s="395" t="str">
        <f>'Order form'!I294</f>
        <v>AW-ROLLER</v>
      </c>
      <c r="E116" s="395" t="str">
        <f>'Order form'!I295</f>
        <v>Roller hanger</v>
      </c>
      <c r="F116" s="396">
        <f>'Order form'!I296</f>
        <v>7</v>
      </c>
      <c r="G116" s="396">
        <f t="shared" si="13"/>
        <v>0</v>
      </c>
      <c r="H116" s="397">
        <v>0.2288</v>
      </c>
      <c r="I116" s="398">
        <f t="shared" si="24"/>
        <v>0</v>
      </c>
      <c r="J116" s="398">
        <f t="shared" si="15"/>
        <v>0</v>
      </c>
      <c r="K116" s="398" t="s">
        <v>31</v>
      </c>
      <c r="L116" s="411">
        <f>'Order form'!L297</f>
        <v>35</v>
      </c>
      <c r="M116" s="398">
        <f t="shared" si="23"/>
        <v>0</v>
      </c>
      <c r="N116" s="399">
        <f t="shared" si="21"/>
        <v>8.0080000000000009</v>
      </c>
      <c r="O116" s="395">
        <f t="shared" si="14"/>
        <v>0</v>
      </c>
      <c r="P116" s="418"/>
    </row>
    <row r="117" spans="1:16" s="400" customFormat="1" ht="12.6" customHeight="1">
      <c r="A117" s="393" t="s">
        <v>162</v>
      </c>
      <c r="B117" s="394" t="s">
        <v>168</v>
      </c>
      <c r="C117" s="395">
        <f>'Order form'!P296</f>
        <v>0</v>
      </c>
      <c r="D117" s="395" t="str">
        <f>'Order form'!N294</f>
        <v>AW-HOLDER</v>
      </c>
      <c r="E117" s="395" t="str">
        <f>'Order form'!N295</f>
        <v>Tool holder</v>
      </c>
      <c r="F117" s="396">
        <f>'Order form'!N296</f>
        <v>9</v>
      </c>
      <c r="G117" s="396">
        <f t="shared" si="13"/>
        <v>0</v>
      </c>
      <c r="H117" s="412">
        <v>0.374</v>
      </c>
      <c r="I117" s="398">
        <f t="shared" si="24"/>
        <v>0</v>
      </c>
      <c r="J117" s="398">
        <f t="shared" si="15"/>
        <v>0</v>
      </c>
      <c r="K117" s="398" t="s">
        <v>31</v>
      </c>
      <c r="L117" s="411">
        <f>'Order form'!Q297</f>
        <v>15</v>
      </c>
      <c r="M117" s="398">
        <f t="shared" si="23"/>
        <v>0</v>
      </c>
      <c r="N117" s="399">
        <f t="shared" si="21"/>
        <v>5.61</v>
      </c>
      <c r="O117" s="395">
        <f t="shared" si="14"/>
        <v>0</v>
      </c>
      <c r="P117" s="418"/>
    </row>
    <row r="118" spans="1:16" s="400" customFormat="1" ht="12.6" customHeight="1">
      <c r="A118" s="393" t="s">
        <v>162</v>
      </c>
      <c r="B118" s="394" t="s">
        <v>168</v>
      </c>
      <c r="C118" s="395">
        <f>'Order form'!U296</f>
        <v>0</v>
      </c>
      <c r="D118" s="395" t="str">
        <f>'Order form'!S294</f>
        <v>AW-HANGER</v>
      </c>
      <c r="E118" s="395" t="str">
        <f>'Order form'!S295</f>
        <v>Small tote hanger</v>
      </c>
      <c r="F118" s="396">
        <f>'Order form'!S296</f>
        <v>2.5</v>
      </c>
      <c r="G118" s="396">
        <f t="shared" si="13"/>
        <v>0</v>
      </c>
      <c r="H118" s="397">
        <v>0.41360000000000002</v>
      </c>
      <c r="I118" s="398">
        <f t="shared" si="24"/>
        <v>0</v>
      </c>
      <c r="J118" s="398">
        <f t="shared" si="15"/>
        <v>0</v>
      </c>
      <c r="K118" s="398" t="s">
        <v>31</v>
      </c>
      <c r="L118" s="411">
        <f>'Order form'!V297</f>
        <v>40</v>
      </c>
      <c r="M118" s="398">
        <f t="shared" si="23"/>
        <v>0</v>
      </c>
      <c r="N118" s="399">
        <f t="shared" si="21"/>
        <v>16.544</v>
      </c>
      <c r="O118" s="395">
        <f t="shared" si="14"/>
        <v>0</v>
      </c>
      <c r="P118" s="418"/>
    </row>
    <row r="119" spans="1:16" s="400" customFormat="1">
      <c r="A119" s="393" t="s">
        <v>643</v>
      </c>
      <c r="B119" s="394" t="s">
        <v>168</v>
      </c>
      <c r="C119" s="395">
        <f>'Order form'!F307</f>
        <v>0</v>
      </c>
      <c r="D119" s="395" t="str">
        <f>'Order form'!D305</f>
        <v>FL-COU14-100lbs</v>
      </c>
      <c r="E119" s="395" t="str">
        <f>'Order form'!D306</f>
        <v>14" sliding rail</v>
      </c>
      <c r="F119" s="396">
        <f>'Order form'!D307</f>
        <v>17</v>
      </c>
      <c r="G119" s="396">
        <f t="shared" si="13"/>
        <v>0</v>
      </c>
      <c r="H119" s="397">
        <v>2.34</v>
      </c>
      <c r="I119" s="398">
        <f t="shared" si="24"/>
        <v>0</v>
      </c>
      <c r="J119" s="398">
        <f t="shared" si="15"/>
        <v>0</v>
      </c>
      <c r="K119" s="398" t="s">
        <v>568</v>
      </c>
      <c r="L119" s="398">
        <f>'Order form'!G308</f>
        <v>10</v>
      </c>
      <c r="M119" s="398">
        <f t="shared" si="23"/>
        <v>0</v>
      </c>
      <c r="N119" s="399">
        <f t="shared" si="21"/>
        <v>23.4</v>
      </c>
      <c r="O119" s="395">
        <f t="shared" si="14"/>
        <v>0</v>
      </c>
      <c r="P119" s="413"/>
    </row>
    <row r="120" spans="1:16" s="400" customFormat="1">
      <c r="A120" s="393" t="s">
        <v>643</v>
      </c>
      <c r="B120" s="394" t="s">
        <v>168</v>
      </c>
      <c r="C120" s="395">
        <f>'Order form'!K307</f>
        <v>0</v>
      </c>
      <c r="D120" s="395" t="str">
        <f>'Order form'!I305</f>
        <v>FL-COU20-100lbs</v>
      </c>
      <c r="E120" s="395" t="str">
        <f>'Order form'!I306</f>
        <v>20" sliding rail</v>
      </c>
      <c r="F120" s="396">
        <f>'Order form'!I307</f>
        <v>18</v>
      </c>
      <c r="G120" s="396">
        <f t="shared" si="13"/>
        <v>0</v>
      </c>
      <c r="H120" s="397">
        <v>3.38</v>
      </c>
      <c r="I120" s="398">
        <f t="shared" si="24"/>
        <v>0</v>
      </c>
      <c r="J120" s="398">
        <f t="shared" si="15"/>
        <v>0</v>
      </c>
      <c r="K120" s="398" t="s">
        <v>568</v>
      </c>
      <c r="L120" s="398">
        <f>'Order form'!L308</f>
        <v>10</v>
      </c>
      <c r="M120" s="398">
        <f t="shared" si="23"/>
        <v>0</v>
      </c>
      <c r="N120" s="399">
        <f t="shared" si="21"/>
        <v>33.799999999999997</v>
      </c>
      <c r="O120" s="395">
        <f t="shared" si="14"/>
        <v>0</v>
      </c>
      <c r="P120" s="413"/>
    </row>
    <row r="121" spans="1:16" s="400" customFormat="1">
      <c r="A121" s="393" t="s">
        <v>643</v>
      </c>
      <c r="B121" s="394" t="s">
        <v>168</v>
      </c>
      <c r="C121" s="395">
        <f>'Order form'!P307</f>
        <v>0</v>
      </c>
      <c r="D121" s="395" t="str">
        <f>'Order form'!N305</f>
        <v>FL-COU24-100lbs</v>
      </c>
      <c r="E121" s="395" t="str">
        <f>'Order form'!N306</f>
        <v>24" sliding rail</v>
      </c>
      <c r="F121" s="396">
        <f>'Order form'!N307</f>
        <v>21</v>
      </c>
      <c r="G121" s="396">
        <f t="shared" si="13"/>
        <v>0</v>
      </c>
      <c r="H121" s="397">
        <v>4.12</v>
      </c>
      <c r="I121" s="398">
        <f t="shared" si="24"/>
        <v>0</v>
      </c>
      <c r="J121" s="398">
        <f t="shared" si="15"/>
        <v>0</v>
      </c>
      <c r="K121" s="398" t="s">
        <v>568</v>
      </c>
      <c r="L121" s="398">
        <f>'Order form'!Q308</f>
        <v>10</v>
      </c>
      <c r="M121" s="398">
        <f t="shared" si="23"/>
        <v>0</v>
      </c>
      <c r="N121" s="399">
        <f t="shared" si="21"/>
        <v>41.2</v>
      </c>
      <c r="O121" s="395">
        <f t="shared" si="14"/>
        <v>0</v>
      </c>
      <c r="P121" s="414"/>
    </row>
    <row r="122" spans="1:16" s="400" customFormat="1">
      <c r="A122" s="393" t="s">
        <v>162</v>
      </c>
      <c r="B122" s="394" t="s">
        <v>168</v>
      </c>
      <c r="C122" s="395">
        <f>'Order form'!U307</f>
        <v>0</v>
      </c>
      <c r="D122" s="395" t="str">
        <f>'Order form'!S305</f>
        <v>FL-COU-U</v>
      </c>
      <c r="E122" s="395" t="str">
        <f>'Order form'!S306</f>
        <v>Sliding rail support</v>
      </c>
      <c r="F122" s="396">
        <f>'Order form'!S307</f>
        <v>0.5</v>
      </c>
      <c r="G122" s="396">
        <f t="shared" si="13"/>
        <v>0</v>
      </c>
      <c r="H122" s="397">
        <v>8.14E-2</v>
      </c>
      <c r="I122" s="398">
        <f t="shared" si="24"/>
        <v>0</v>
      </c>
      <c r="J122" s="398">
        <f t="shared" si="15"/>
        <v>0</v>
      </c>
      <c r="K122" s="398" t="s">
        <v>31</v>
      </c>
      <c r="L122" s="398">
        <f>'Order form'!V308</f>
        <v>400</v>
      </c>
      <c r="M122" s="398">
        <f t="shared" si="23"/>
        <v>0</v>
      </c>
      <c r="N122" s="399">
        <f t="shared" si="21"/>
        <v>32.56</v>
      </c>
      <c r="O122" s="395">
        <f t="shared" si="14"/>
        <v>0</v>
      </c>
      <c r="P122" s="415">
        <f>SUM(G91:G122)</f>
        <v>0</v>
      </c>
    </row>
    <row r="123" spans="1:16" s="226" customFormat="1" ht="12.6" customHeight="1">
      <c r="A123" s="218" t="s">
        <v>163</v>
      </c>
      <c r="B123" s="219" t="s">
        <v>169</v>
      </c>
      <c r="C123" s="221">
        <f>'Order form'!F320</f>
        <v>0</v>
      </c>
      <c r="D123" s="221" t="str">
        <f>'Order form'!D318</f>
        <v>D-HDPEW-481/2</v>
      </c>
      <c r="E123" s="221" t="str">
        <f>'Order form'!D319</f>
        <v>White HDPE plastic                   48'' X 96'' X 1/2''</v>
      </c>
      <c r="F123" s="222">
        <f>'Order form'!D320</f>
        <v>210</v>
      </c>
      <c r="G123" s="222">
        <f t="shared" si="13"/>
        <v>0</v>
      </c>
      <c r="H123" s="223">
        <v>80</v>
      </c>
      <c r="I123" s="224">
        <f t="shared" si="24"/>
        <v>0</v>
      </c>
      <c r="J123" s="224">
        <f t="shared" si="15"/>
        <v>0</v>
      </c>
      <c r="K123" s="224" t="s">
        <v>2</v>
      </c>
      <c r="L123" s="224">
        <v>1</v>
      </c>
      <c r="M123" s="224">
        <f t="shared" ref="M123:M125" si="25">C123/L123</f>
        <v>0</v>
      </c>
      <c r="N123" s="225">
        <f t="shared" si="21"/>
        <v>80</v>
      </c>
      <c r="O123" s="395">
        <f t="shared" si="14"/>
        <v>0</v>
      </c>
      <c r="P123" s="419"/>
    </row>
    <row r="124" spans="1:16" s="226" customFormat="1" ht="12.6" customHeight="1">
      <c r="A124" s="218" t="s">
        <v>163</v>
      </c>
      <c r="B124" s="219" t="s">
        <v>169</v>
      </c>
      <c r="C124" s="221">
        <f>'Order form'!K320</f>
        <v>0</v>
      </c>
      <c r="D124" s="221" t="str">
        <f>'Order form'!I318</f>
        <v>D-HDPEW-481/4</v>
      </c>
      <c r="E124" s="221" t="str">
        <f>'Order form'!I319</f>
        <v>White HDPE plastic                     48'' X 96'' X 1/4''</v>
      </c>
      <c r="F124" s="222">
        <f>'Order form'!I320</f>
        <v>110</v>
      </c>
      <c r="G124" s="222">
        <f t="shared" si="13"/>
        <v>0</v>
      </c>
      <c r="H124" s="223">
        <v>40</v>
      </c>
      <c r="I124" s="224">
        <f t="shared" si="24"/>
        <v>0</v>
      </c>
      <c r="J124" s="224">
        <f t="shared" si="15"/>
        <v>0</v>
      </c>
      <c r="K124" s="224" t="s">
        <v>2</v>
      </c>
      <c r="L124" s="224">
        <v>1</v>
      </c>
      <c r="M124" s="224">
        <f t="shared" si="25"/>
        <v>0</v>
      </c>
      <c r="N124" s="225">
        <f t="shared" si="21"/>
        <v>40</v>
      </c>
      <c r="O124" s="395">
        <f t="shared" si="14"/>
        <v>0</v>
      </c>
      <c r="P124" s="420"/>
    </row>
    <row r="125" spans="1:16" s="226" customFormat="1" ht="12.6" customHeight="1">
      <c r="A125" s="218" t="s">
        <v>162</v>
      </c>
      <c r="B125" s="219" t="s">
        <v>169</v>
      </c>
      <c r="C125" s="221">
        <f>'Order form'!P320</f>
        <v>0</v>
      </c>
      <c r="D125" s="221" t="str">
        <f>'Order form'!N318</f>
        <v>D-ALUW-481/8</v>
      </c>
      <c r="E125" s="221" t="str">
        <f>'Order form'!N319</f>
        <v>White aluminum clad  48'' X 96'' X 1/8'' (3mm)</v>
      </c>
      <c r="F125" s="222">
        <f>'Order form'!N320</f>
        <v>77</v>
      </c>
      <c r="G125" s="222">
        <f t="shared" si="13"/>
        <v>0</v>
      </c>
      <c r="H125" s="223">
        <v>13</v>
      </c>
      <c r="I125" s="224">
        <f t="shared" si="24"/>
        <v>0</v>
      </c>
      <c r="J125" s="224">
        <f t="shared" si="15"/>
        <v>0</v>
      </c>
      <c r="K125" s="224" t="s">
        <v>2</v>
      </c>
      <c r="L125" s="224">
        <v>1</v>
      </c>
      <c r="M125" s="224">
        <f t="shared" si="25"/>
        <v>0</v>
      </c>
      <c r="N125" s="225">
        <f t="shared" si="21"/>
        <v>13</v>
      </c>
      <c r="O125" s="395">
        <f t="shared" si="14"/>
        <v>0</v>
      </c>
      <c r="P125" s="481">
        <f>SUM(G123:G125)</f>
        <v>0</v>
      </c>
    </row>
    <row r="126" spans="1:16" s="400" customFormat="1">
      <c r="A126" s="393" t="s">
        <v>162</v>
      </c>
      <c r="B126" s="394" t="s">
        <v>167</v>
      </c>
      <c r="C126" s="395">
        <f>'Order form'!F332+('Order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0</v>
      </c>
      <c r="D126" s="395" t="str">
        <f>'Order form'!D330</f>
        <v>M6-25B</v>
      </c>
      <c r="E126" s="395" t="str">
        <f>'Order form'!D331</f>
        <v>Metric screw for joints</v>
      </c>
      <c r="F126" s="396">
        <f>'Order form'!D332</f>
        <v>7.0000000000000007E-2</v>
      </c>
      <c r="G126" s="396">
        <f t="shared" si="13"/>
        <v>0</v>
      </c>
      <c r="H126" s="397">
        <v>1.54E-2</v>
      </c>
      <c r="I126" s="398">
        <f t="shared" si="24"/>
        <v>0</v>
      </c>
      <c r="J126" s="398">
        <f t="shared" si="15"/>
        <v>0</v>
      </c>
      <c r="K126" s="398" t="s">
        <v>31</v>
      </c>
      <c r="L126" s="411">
        <f>'Order form'!G333</f>
        <v>1800</v>
      </c>
      <c r="M126" s="398">
        <f t="shared" ref="M126:M142" si="26">C126/L126</f>
        <v>0</v>
      </c>
      <c r="N126" s="399">
        <f t="shared" ref="N126:N142" si="27">L126*H126</f>
        <v>27.720000000000002</v>
      </c>
      <c r="O126" s="395">
        <f t="shared" si="14"/>
        <v>0</v>
      </c>
      <c r="P126" s="427"/>
    </row>
    <row r="127" spans="1:16" s="400" customFormat="1">
      <c r="A127" s="393" t="s">
        <v>162</v>
      </c>
      <c r="B127" s="394" t="s">
        <v>167</v>
      </c>
      <c r="C127" s="395">
        <f>'Order form'!K332+'Order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0</v>
      </c>
      <c r="D127" s="395" t="str">
        <f>'Order form'!I330</f>
        <v>M6-N</v>
      </c>
      <c r="E127" s="395" t="str">
        <f>'Order form'!I331</f>
        <v>Metric nut for joints</v>
      </c>
      <c r="F127" s="396">
        <f>'Order form'!I332</f>
        <v>0.06</v>
      </c>
      <c r="G127" s="396">
        <f t="shared" si="13"/>
        <v>0</v>
      </c>
      <c r="H127" s="397">
        <v>4.4000000000000003E-3</v>
      </c>
      <c r="I127" s="398">
        <f t="shared" si="24"/>
        <v>0</v>
      </c>
      <c r="J127" s="398">
        <f t="shared" si="15"/>
        <v>0</v>
      </c>
      <c r="K127" s="398" t="s">
        <v>31</v>
      </c>
      <c r="L127" s="411">
        <f>'Order form'!L333</f>
        <v>3600</v>
      </c>
      <c r="M127" s="398">
        <f t="shared" si="26"/>
        <v>0</v>
      </c>
      <c r="N127" s="399">
        <f t="shared" si="27"/>
        <v>15.840000000000002</v>
      </c>
      <c r="O127" s="395">
        <f t="shared" si="14"/>
        <v>0</v>
      </c>
      <c r="P127" s="409"/>
    </row>
    <row r="128" spans="1:16" s="400" customFormat="1">
      <c r="A128" s="393" t="s">
        <v>162</v>
      </c>
      <c r="B128" s="394" t="s">
        <v>167</v>
      </c>
      <c r="C128" s="395">
        <f>'Order form'!P332+('Order form'!Z140*1)</f>
        <v>0</v>
      </c>
      <c r="D128" s="395" t="str">
        <f>'Order form'!N330</f>
        <v>M6-12B</v>
      </c>
      <c r="E128" s="395" t="str">
        <f>'Order form'!N331</f>
        <v>Metric screw                   only for HJ-15 joint</v>
      </c>
      <c r="F128" s="396">
        <f>'Order form'!N332</f>
        <v>7.0000000000000007E-2</v>
      </c>
      <c r="G128" s="396">
        <f t="shared" si="13"/>
        <v>0</v>
      </c>
      <c r="H128" s="397">
        <v>1.0999999999999999E-2</v>
      </c>
      <c r="I128" s="398">
        <f t="shared" si="24"/>
        <v>0</v>
      </c>
      <c r="J128" s="398">
        <f t="shared" si="15"/>
        <v>0</v>
      </c>
      <c r="K128" s="398" t="s">
        <v>31</v>
      </c>
      <c r="L128" s="411">
        <f>'Order form'!Q333</f>
        <v>2000</v>
      </c>
      <c r="M128" s="398">
        <f t="shared" si="26"/>
        <v>0</v>
      </c>
      <c r="N128" s="399">
        <f t="shared" si="27"/>
        <v>22</v>
      </c>
      <c r="O128" s="395">
        <f t="shared" si="14"/>
        <v>0</v>
      </c>
      <c r="P128" s="409"/>
    </row>
    <row r="129" spans="1:16" s="400" customFormat="1">
      <c r="A129" s="393" t="s">
        <v>162</v>
      </c>
      <c r="B129" s="394" t="s">
        <v>167</v>
      </c>
      <c r="C129" s="395">
        <f>'Order form'!F343+('Order form'!F196*1)+('Order form'!K196*2)+('Order form'!P196*3)+('Order form'!U196*2)+('Order form'!Z196*4)+('Order form'!F207*2)+('Order form'!K207*1)+('Order form'!P207*1)+('Order form'!U207*1)+('Order form'!F218*1)+('Order form'!K218*1)+('Order form'!P218*2)</f>
        <v>0</v>
      </c>
      <c r="D129" s="395" t="str">
        <f>'Order form'!D341</f>
        <v>M6-25BWZ</v>
      </c>
      <c r="E129" s="395" t="str">
        <f>'Order form'!D342</f>
        <v>Metric screw for nickel plated joints</v>
      </c>
      <c r="F129" s="396">
        <f>'Order form'!D343</f>
        <v>7.0000000000000007E-2</v>
      </c>
      <c r="G129" s="396">
        <f t="shared" si="13"/>
        <v>0</v>
      </c>
      <c r="H129" s="397">
        <v>1.54E-2</v>
      </c>
      <c r="I129" s="398">
        <f t="shared" si="24"/>
        <v>0</v>
      </c>
      <c r="J129" s="398">
        <f t="shared" si="15"/>
        <v>0</v>
      </c>
      <c r="K129" s="398" t="s">
        <v>31</v>
      </c>
      <c r="L129" s="411">
        <f>'Order form'!G344</f>
        <v>1800</v>
      </c>
      <c r="M129" s="398">
        <f t="shared" si="26"/>
        <v>0</v>
      </c>
      <c r="N129" s="399">
        <f t="shared" si="27"/>
        <v>27.720000000000002</v>
      </c>
      <c r="O129" s="395">
        <f t="shared" si="14"/>
        <v>0</v>
      </c>
      <c r="P129" s="409"/>
    </row>
    <row r="130" spans="1:16" s="400" customFormat="1">
      <c r="A130" s="393" t="s">
        <v>162</v>
      </c>
      <c r="B130" s="394" t="s">
        <v>167</v>
      </c>
      <c r="C130" s="395">
        <f>'Order form'!K343+('Order form'!F196*1)+('Order form'!K196*2)+('Order form'!P196*3)+('Order form'!U196*2)+('Order form'!Z196*4)+('Order form'!F207*2)+('Order form'!K207*1)+('Order form'!P207*1)+('Order form'!U207*1)+('Order form'!F218*1)+('Order form'!K218*1)+('Order form'!P218*2)+('Order form'!Z207)</f>
        <v>0</v>
      </c>
      <c r="D130" s="395" t="str">
        <f>'Order form'!I341</f>
        <v>M6-NWZ</v>
      </c>
      <c r="E130" s="395" t="str">
        <f>'Order form'!I342</f>
        <v>Metric nut for nickel plated joints</v>
      </c>
      <c r="F130" s="396">
        <f>'Order form'!I343</f>
        <v>0.06</v>
      </c>
      <c r="G130" s="396">
        <f t="shared" si="13"/>
        <v>0</v>
      </c>
      <c r="H130" s="397">
        <v>4.4000000000000003E-3</v>
      </c>
      <c r="I130" s="398">
        <f t="shared" si="24"/>
        <v>0</v>
      </c>
      <c r="J130" s="398">
        <f t="shared" si="15"/>
        <v>0</v>
      </c>
      <c r="K130" s="398" t="s">
        <v>31</v>
      </c>
      <c r="L130" s="411">
        <f>'Order form'!L344</f>
        <v>3600</v>
      </c>
      <c r="M130" s="398">
        <f t="shared" si="26"/>
        <v>0</v>
      </c>
      <c r="N130" s="399">
        <f t="shared" si="27"/>
        <v>15.840000000000002</v>
      </c>
      <c r="O130" s="395">
        <f t="shared" si="14"/>
        <v>0</v>
      </c>
      <c r="P130" s="409"/>
    </row>
    <row r="131" spans="1:16" s="400" customFormat="1">
      <c r="A131" s="393" t="s">
        <v>162</v>
      </c>
      <c r="B131" s="394" t="s">
        <v>167</v>
      </c>
      <c r="C131" s="395">
        <f>'Order form'!P343+('Order form'!Z207*1)</f>
        <v>0</v>
      </c>
      <c r="D131" s="395" t="str">
        <f>'Order form'!N341</f>
        <v>M6-12BWZ</v>
      </c>
      <c r="E131" s="395" t="str">
        <f>'Order form'!N342</f>
        <v>Metric screw                   only for HJ-15NP joint</v>
      </c>
      <c r="F131" s="396">
        <f>'Order form'!N343</f>
        <v>7.0000000000000007E-2</v>
      </c>
      <c r="G131" s="396">
        <f t="shared" si="13"/>
        <v>0</v>
      </c>
      <c r="H131" s="397">
        <v>1.0999999999999999E-2</v>
      </c>
      <c r="I131" s="398">
        <f t="shared" si="24"/>
        <v>0</v>
      </c>
      <c r="J131" s="398">
        <f t="shared" si="15"/>
        <v>0</v>
      </c>
      <c r="K131" s="398" t="s">
        <v>31</v>
      </c>
      <c r="L131" s="411">
        <f>'Order form'!Q344</f>
        <v>2000</v>
      </c>
      <c r="M131" s="398">
        <f t="shared" si="26"/>
        <v>0</v>
      </c>
      <c r="N131" s="399">
        <f t="shared" si="27"/>
        <v>22</v>
      </c>
      <c r="O131" s="395">
        <f t="shared" si="14"/>
        <v>0</v>
      </c>
      <c r="P131" s="409"/>
    </row>
    <row r="132" spans="1:16" s="400" customFormat="1">
      <c r="A132" s="393" t="s">
        <v>162</v>
      </c>
      <c r="B132" s="394" t="s">
        <v>167</v>
      </c>
      <c r="C132" s="395">
        <f>'Order form'!F355</f>
        <v>0</v>
      </c>
      <c r="D132" s="395" t="str">
        <f>'Order form'!D353</f>
        <v>F-A85/8</v>
      </c>
      <c r="E132" s="395" t="str">
        <f>'Order form'!D354</f>
        <v>Box of 100x Self drilling screws    #8 X 5/8" to solidify joints</v>
      </c>
      <c r="F132" s="396">
        <f>'Order form'!D355</f>
        <v>3</v>
      </c>
      <c r="G132" s="396">
        <f t="shared" si="13"/>
        <v>0</v>
      </c>
      <c r="H132" s="397">
        <v>1.87</v>
      </c>
      <c r="I132" s="398">
        <f t="shared" si="24"/>
        <v>0</v>
      </c>
      <c r="J132" s="398">
        <f t="shared" si="15"/>
        <v>0</v>
      </c>
      <c r="K132" s="416" t="s">
        <v>443</v>
      </c>
      <c r="L132" s="411">
        <v>32</v>
      </c>
      <c r="M132" s="398">
        <f t="shared" si="26"/>
        <v>0</v>
      </c>
      <c r="N132" s="399">
        <f t="shared" si="27"/>
        <v>59.84</v>
      </c>
      <c r="O132" s="395">
        <f t="shared" si="14"/>
        <v>0</v>
      </c>
      <c r="P132" s="409"/>
    </row>
    <row r="133" spans="1:16" s="400" customFormat="1">
      <c r="A133" s="393" t="s">
        <v>162</v>
      </c>
      <c r="B133" s="394" t="s">
        <v>167</v>
      </c>
      <c r="C133" s="395">
        <f>'Order form'!K355</f>
        <v>0</v>
      </c>
      <c r="D133" s="395" t="str">
        <f>'Order form'!I353</f>
        <v>F-C61</v>
      </c>
      <c r="E133" s="395" t="str">
        <f>'Order form'!I354</f>
        <v>Box of 100x Countersunk screws #6 X 1" to install decking</v>
      </c>
      <c r="F133" s="396">
        <f>'Order form'!I355</f>
        <v>3</v>
      </c>
      <c r="G133" s="396">
        <f t="shared" si="13"/>
        <v>0</v>
      </c>
      <c r="H133" s="397">
        <v>1.87</v>
      </c>
      <c r="I133" s="398">
        <f t="shared" si="24"/>
        <v>0</v>
      </c>
      <c r="J133" s="398">
        <f t="shared" si="15"/>
        <v>0</v>
      </c>
      <c r="K133" s="416" t="s">
        <v>443</v>
      </c>
      <c r="L133" s="411">
        <v>20</v>
      </c>
      <c r="M133" s="398">
        <f t="shared" si="26"/>
        <v>0</v>
      </c>
      <c r="N133" s="399">
        <f t="shared" si="27"/>
        <v>37.400000000000006</v>
      </c>
      <c r="O133" s="395">
        <f t="shared" si="14"/>
        <v>0</v>
      </c>
      <c r="P133" s="409"/>
    </row>
    <row r="134" spans="1:16" s="400" customFormat="1">
      <c r="A134" s="393" t="s">
        <v>162</v>
      </c>
      <c r="B134" s="394" t="s">
        <v>167</v>
      </c>
      <c r="C134" s="395">
        <f>'Order form'!P355</f>
        <v>0</v>
      </c>
      <c r="D134" s="395" t="str">
        <f>'Order form'!N353</f>
        <v>F-S81/2</v>
      </c>
      <c r="E134" s="395" t="str">
        <f>'Order form'!N354</f>
        <v>Box of 100x Square screws #8 X 1/2" to install accessories</v>
      </c>
      <c r="F134" s="396">
        <f>'Order form'!N355</f>
        <v>3</v>
      </c>
      <c r="G134" s="396">
        <f t="shared" si="13"/>
        <v>0</v>
      </c>
      <c r="H134" s="397">
        <v>1.87</v>
      </c>
      <c r="I134" s="398">
        <f t="shared" si="24"/>
        <v>0</v>
      </c>
      <c r="J134" s="398">
        <f t="shared" si="15"/>
        <v>0</v>
      </c>
      <c r="K134" s="416" t="s">
        <v>443</v>
      </c>
      <c r="L134" s="411">
        <v>32</v>
      </c>
      <c r="M134" s="398">
        <f t="shared" si="26"/>
        <v>0</v>
      </c>
      <c r="N134" s="399">
        <f t="shared" si="27"/>
        <v>59.84</v>
      </c>
      <c r="O134" s="395">
        <f t="shared" si="14"/>
        <v>0</v>
      </c>
      <c r="P134" s="409"/>
    </row>
    <row r="135" spans="1:16" s="400" customFormat="1">
      <c r="A135" s="393" t="s">
        <v>162</v>
      </c>
      <c r="B135" s="394" t="s">
        <v>168</v>
      </c>
      <c r="C135" s="395">
        <f>'Order form'!U355</f>
        <v>0</v>
      </c>
      <c r="D135" s="395" t="str">
        <f>'Order form'!S353</f>
        <v>F-BUS</v>
      </c>
      <c r="E135" s="395" t="str">
        <f>'Order form'!S354</f>
        <v>Bushing for 8mm stainless steel pipe</v>
      </c>
      <c r="F135" s="396">
        <f>'Order form'!S355</f>
        <v>1</v>
      </c>
      <c r="G135" s="396">
        <f t="shared" si="13"/>
        <v>0</v>
      </c>
      <c r="H135" s="397">
        <v>0.18479999999999999</v>
      </c>
      <c r="I135" s="398">
        <f t="shared" si="24"/>
        <v>0</v>
      </c>
      <c r="J135" s="398">
        <f t="shared" si="15"/>
        <v>0</v>
      </c>
      <c r="K135" s="674" t="s">
        <v>31</v>
      </c>
      <c r="L135" s="411">
        <f>'Order form'!V356</f>
        <v>200</v>
      </c>
      <c r="M135" s="398">
        <f t="shared" si="26"/>
        <v>0</v>
      </c>
      <c r="N135" s="399">
        <f t="shared" si="27"/>
        <v>36.96</v>
      </c>
      <c r="O135" s="395">
        <f t="shared" ref="O135:O172" si="28">IF(C135=0,O134,O134+1)</f>
        <v>0</v>
      </c>
      <c r="P135" s="409"/>
    </row>
    <row r="136" spans="1:16" s="400" customFormat="1">
      <c r="A136" s="393" t="s">
        <v>162</v>
      </c>
      <c r="B136" s="394" t="s">
        <v>168</v>
      </c>
      <c r="C136" s="395">
        <f>'Order form'!F366</f>
        <v>0</v>
      </c>
      <c r="D136" s="395" t="str">
        <f>'Order form'!D364</f>
        <v>WF-UP</v>
      </c>
      <c r="E136" s="395" t="str">
        <f>'Order form'!D365</f>
        <v>Caster mount upper bracket for 4" wheel (2 per caster)</v>
      </c>
      <c r="F136" s="396">
        <f>'Order form'!D366</f>
        <v>0.8</v>
      </c>
      <c r="G136" s="396">
        <f t="shared" si="13"/>
        <v>0</v>
      </c>
      <c r="H136" s="397">
        <v>0.1804</v>
      </c>
      <c r="I136" s="398">
        <f t="shared" si="24"/>
        <v>0</v>
      </c>
      <c r="J136" s="398">
        <f t="shared" si="15"/>
        <v>0</v>
      </c>
      <c r="K136" s="398" t="s">
        <v>31</v>
      </c>
      <c r="L136" s="411">
        <f>'Order form'!G367</f>
        <v>180</v>
      </c>
      <c r="M136" s="398">
        <f t="shared" si="26"/>
        <v>0</v>
      </c>
      <c r="N136" s="399">
        <f t="shared" si="27"/>
        <v>32.472000000000001</v>
      </c>
      <c r="O136" s="395">
        <f t="shared" si="28"/>
        <v>0</v>
      </c>
      <c r="P136" s="409"/>
    </row>
    <row r="137" spans="1:16" s="400" customFormat="1">
      <c r="A137" s="393" t="s">
        <v>162</v>
      </c>
      <c r="B137" s="394" t="s">
        <v>168</v>
      </c>
      <c r="C137" s="395">
        <f>'Order form'!K366</f>
        <v>0</v>
      </c>
      <c r="D137" s="395" t="str">
        <f>'Order form'!I364</f>
        <v>WF-LOW</v>
      </c>
      <c r="E137" s="395" t="str">
        <f>'Order form'!I365</f>
        <v>Caster mount lower bracket for 4" wheel (2 per caster)</v>
      </c>
      <c r="F137" s="396">
        <f>'Order form'!I366</f>
        <v>0.8</v>
      </c>
      <c r="G137" s="396">
        <f t="shared" si="13"/>
        <v>0</v>
      </c>
      <c r="H137" s="397">
        <v>0.17380000000000001</v>
      </c>
      <c r="I137" s="398">
        <f t="shared" si="24"/>
        <v>0</v>
      </c>
      <c r="J137" s="398">
        <f t="shared" si="15"/>
        <v>0</v>
      </c>
      <c r="K137" s="398" t="s">
        <v>31</v>
      </c>
      <c r="L137" s="411">
        <f>'Order form'!L367</f>
        <v>180</v>
      </c>
      <c r="M137" s="398">
        <f t="shared" si="26"/>
        <v>0</v>
      </c>
      <c r="N137" s="399">
        <f t="shared" si="27"/>
        <v>31.284000000000002</v>
      </c>
      <c r="O137" s="395">
        <f t="shared" si="28"/>
        <v>0</v>
      </c>
      <c r="P137" s="409"/>
    </row>
    <row r="138" spans="1:16" s="400" customFormat="1">
      <c r="A138" s="393" t="s">
        <v>162</v>
      </c>
      <c r="B138" s="394" t="s">
        <v>168</v>
      </c>
      <c r="C138" s="395">
        <f>'Order form'!P366</f>
        <v>0</v>
      </c>
      <c r="D138" s="395" t="str">
        <f>'Order form'!N364</f>
        <v>WF-LARGE</v>
      </c>
      <c r="E138" s="395" t="str">
        <f>'Order form'!N365</f>
        <v>Extended caster mount     for 6" wheel (4 per caster)</v>
      </c>
      <c r="F138" s="396">
        <f>'Order form'!N366</f>
        <v>1</v>
      </c>
      <c r="G138" s="396">
        <f t="shared" si="13"/>
        <v>0</v>
      </c>
      <c r="H138" s="397">
        <v>0.23799999999999999</v>
      </c>
      <c r="I138" s="398">
        <f t="shared" si="24"/>
        <v>0</v>
      </c>
      <c r="J138" s="398">
        <f t="shared" si="15"/>
        <v>0</v>
      </c>
      <c r="K138" s="398" t="s">
        <v>31</v>
      </c>
      <c r="L138" s="411">
        <f>'Order form'!Q367</f>
        <v>90</v>
      </c>
      <c r="M138" s="398">
        <f t="shared" si="26"/>
        <v>0</v>
      </c>
      <c r="N138" s="399">
        <f t="shared" si="27"/>
        <v>21.419999999999998</v>
      </c>
      <c r="O138" s="395">
        <f t="shared" si="28"/>
        <v>0</v>
      </c>
      <c r="P138" s="409"/>
    </row>
    <row r="139" spans="1:16" s="400" customFormat="1">
      <c r="A139" s="393" t="s">
        <v>162</v>
      </c>
      <c r="B139" s="394" t="s">
        <v>167</v>
      </c>
      <c r="C139" s="395">
        <f>'Order form'!U366</f>
        <v>0</v>
      </c>
      <c r="D139" s="395" t="str">
        <f>'Order form'!S364</f>
        <v>WF-LPLATE</v>
      </c>
      <c r="E139" s="395" t="str">
        <f>'Order form'!S365</f>
        <v>Left metal corner reinforcement plate</v>
      </c>
      <c r="F139" s="396">
        <f>'Order form'!S366</f>
        <v>16</v>
      </c>
      <c r="G139" s="396">
        <f t="shared" si="13"/>
        <v>0</v>
      </c>
      <c r="H139" s="397">
        <v>4.2460000000000004</v>
      </c>
      <c r="I139" s="398">
        <f t="shared" si="24"/>
        <v>0</v>
      </c>
      <c r="J139" s="398">
        <f t="shared" si="15"/>
        <v>0</v>
      </c>
      <c r="K139" s="398" t="s">
        <v>31</v>
      </c>
      <c r="L139" s="411">
        <f>'Order form'!V367</f>
        <v>2</v>
      </c>
      <c r="M139" s="398">
        <f t="shared" si="26"/>
        <v>0</v>
      </c>
      <c r="N139" s="399">
        <f t="shared" si="27"/>
        <v>8.4920000000000009</v>
      </c>
      <c r="O139" s="395">
        <f t="shared" si="28"/>
        <v>0</v>
      </c>
      <c r="P139" s="409"/>
    </row>
    <row r="140" spans="1:16" s="400" customFormat="1">
      <c r="A140" s="393" t="s">
        <v>162</v>
      </c>
      <c r="B140" s="394" t="s">
        <v>167</v>
      </c>
      <c r="C140" s="395">
        <f>'Order form'!Z366</f>
        <v>0</v>
      </c>
      <c r="D140" s="395" t="str">
        <f>'Order form'!X364</f>
        <v>WF-RPLATE</v>
      </c>
      <c r="E140" s="395" t="str">
        <f>'Order form'!X365</f>
        <v>Right metal corner reinforcement plate</v>
      </c>
      <c r="F140" s="396">
        <f>'Order form'!X366</f>
        <v>16</v>
      </c>
      <c r="G140" s="396">
        <f t="shared" si="13"/>
        <v>0</v>
      </c>
      <c r="H140" s="397">
        <v>4.2460000000000004</v>
      </c>
      <c r="I140" s="398">
        <f t="shared" si="24"/>
        <v>0</v>
      </c>
      <c r="J140" s="398">
        <f t="shared" si="15"/>
        <v>0</v>
      </c>
      <c r="K140" s="398" t="s">
        <v>31</v>
      </c>
      <c r="L140" s="411">
        <f>'Order form'!AA367</f>
        <v>2</v>
      </c>
      <c r="M140" s="398">
        <f t="shared" si="26"/>
        <v>0</v>
      </c>
      <c r="N140" s="399">
        <f t="shared" si="27"/>
        <v>8.4920000000000009</v>
      </c>
      <c r="O140" s="395">
        <f t="shared" si="28"/>
        <v>0</v>
      </c>
      <c r="P140" s="413"/>
    </row>
    <row r="141" spans="1:16" s="400" customFormat="1">
      <c r="A141" s="393" t="s">
        <v>162</v>
      </c>
      <c r="B141" s="394" t="s">
        <v>167</v>
      </c>
      <c r="C141" s="395">
        <f>'Order form'!F377</f>
        <v>0</v>
      </c>
      <c r="D141" s="395" t="str">
        <f>'Order form'!D375</f>
        <v>M8-40B</v>
      </c>
      <c r="E141" s="395" t="str">
        <f>'Order form'!D376</f>
        <v>Screw for caster mount brackets (4 per caster)</v>
      </c>
      <c r="F141" s="396">
        <f>'Order form'!D377</f>
        <v>0.15</v>
      </c>
      <c r="G141" s="396">
        <f t="shared" ref="G141:G168" si="29">F141*C141</f>
        <v>0</v>
      </c>
      <c r="H141" s="397">
        <v>3.7400000000000003E-2</v>
      </c>
      <c r="I141" s="398">
        <f t="shared" si="24"/>
        <v>0</v>
      </c>
      <c r="J141" s="398">
        <f t="shared" si="15"/>
        <v>0</v>
      </c>
      <c r="K141" s="398" t="s">
        <v>31</v>
      </c>
      <c r="L141" s="411">
        <f>'Order form'!G378</f>
        <v>800</v>
      </c>
      <c r="M141" s="398">
        <f t="shared" si="26"/>
        <v>0</v>
      </c>
      <c r="N141" s="399">
        <f t="shared" si="27"/>
        <v>29.92</v>
      </c>
      <c r="O141" s="395">
        <f t="shared" si="28"/>
        <v>0</v>
      </c>
      <c r="P141" s="413"/>
    </row>
    <row r="142" spans="1:16" s="400" customFormat="1">
      <c r="A142" s="393" t="s">
        <v>162</v>
      </c>
      <c r="B142" s="394" t="s">
        <v>167</v>
      </c>
      <c r="C142" s="395">
        <f>'Order form'!K377</f>
        <v>0</v>
      </c>
      <c r="D142" s="395" t="str">
        <f>'Order form'!I375</f>
        <v>M8-N</v>
      </c>
      <c r="E142" s="395" t="str">
        <f>'Order form'!I376</f>
        <v>Lock nut for caster mount brackets (4 per caster)</v>
      </c>
      <c r="F142" s="396">
        <f>'Order form'!I377</f>
        <v>0.06</v>
      </c>
      <c r="G142" s="396">
        <f t="shared" si="29"/>
        <v>0</v>
      </c>
      <c r="H142" s="397">
        <v>8.8000000000000005E-3</v>
      </c>
      <c r="I142" s="398">
        <f t="shared" si="24"/>
        <v>0</v>
      </c>
      <c r="J142" s="398">
        <f t="shared" si="15"/>
        <v>0</v>
      </c>
      <c r="K142" s="398" t="s">
        <v>31</v>
      </c>
      <c r="L142" s="411">
        <f>'Order form'!L378</f>
        <v>3000</v>
      </c>
      <c r="M142" s="398">
        <f t="shared" si="26"/>
        <v>0</v>
      </c>
      <c r="N142" s="399">
        <f t="shared" si="27"/>
        <v>26.400000000000002</v>
      </c>
      <c r="O142" s="395">
        <f t="shared" si="28"/>
        <v>0</v>
      </c>
      <c r="P142" s="415">
        <f>SUM(G126:G142)</f>
        <v>0</v>
      </c>
    </row>
    <row r="143" spans="1:16" s="226" customFormat="1" ht="12.6" customHeight="1">
      <c r="A143" s="218" t="s">
        <v>162</v>
      </c>
      <c r="B143" s="219" t="s">
        <v>499</v>
      </c>
      <c r="C143" s="221">
        <f>'Order form'!F390</f>
        <v>0</v>
      </c>
      <c r="D143" s="221" t="str">
        <f>'Order form'!D388</f>
        <v>W-3ESB</v>
      </c>
      <c r="E143" s="221" t="str">
        <f>'Order form'!D389</f>
        <v>3'' Swivel caster w/brake  150lbs cap. Roller bearing</v>
      </c>
      <c r="F143" s="222">
        <f>'Order form'!D390</f>
        <v>9</v>
      </c>
      <c r="G143" s="228">
        <f>F143*C143</f>
        <v>0</v>
      </c>
      <c r="H143" s="223">
        <v>1.595</v>
      </c>
      <c r="I143" s="224">
        <f>C143*H143</f>
        <v>0</v>
      </c>
      <c r="J143" s="224">
        <f>I143*1.1</f>
        <v>0</v>
      </c>
      <c r="K143" s="224" t="s">
        <v>31</v>
      </c>
      <c r="L143" s="224">
        <f>'Order form'!G391</f>
        <v>6</v>
      </c>
      <c r="M143" s="230">
        <f>C143/L143</f>
        <v>0</v>
      </c>
      <c r="N143" s="225">
        <f>L143*H143</f>
        <v>9.57</v>
      </c>
      <c r="O143" s="395">
        <f t="shared" si="28"/>
        <v>0</v>
      </c>
      <c r="P143" s="420"/>
    </row>
    <row r="144" spans="1:16" s="226" customFormat="1" ht="12.6" customHeight="1">
      <c r="A144" s="218" t="s">
        <v>162</v>
      </c>
      <c r="B144" s="219" t="s">
        <v>499</v>
      </c>
      <c r="C144" s="221">
        <f>'Order form'!K390</f>
        <v>0</v>
      </c>
      <c r="D144" s="221" t="str">
        <f>'Order form'!I388</f>
        <v>W-3EF</v>
      </c>
      <c r="E144" s="221" t="str">
        <f>'Order form'!I389</f>
        <v>3" Rigid caster                     150lbs cap. Roller bearing</v>
      </c>
      <c r="F144" s="222">
        <f>'Order form'!I390</f>
        <v>10.75</v>
      </c>
      <c r="G144" s="228">
        <f t="shared" si="29"/>
        <v>0</v>
      </c>
      <c r="H144" s="671">
        <v>1.1659999999999999</v>
      </c>
      <c r="I144" s="224">
        <f t="shared" ref="I144:I168" si="30">C144*H144</f>
        <v>0</v>
      </c>
      <c r="J144" s="224">
        <f t="shared" si="15"/>
        <v>0</v>
      </c>
      <c r="K144" s="224" t="s">
        <v>31</v>
      </c>
      <c r="L144" s="224">
        <f>'Order form'!L391</f>
        <v>6</v>
      </c>
      <c r="M144" s="230">
        <f t="shared" ref="M144:M151" si="31">C144/L144</f>
        <v>0</v>
      </c>
      <c r="N144" s="225">
        <f t="shared" ref="N144:N168" si="32">L144*H144</f>
        <v>6.9959999999999996</v>
      </c>
      <c r="O144" s="395">
        <f t="shared" si="28"/>
        <v>0</v>
      </c>
      <c r="P144" s="420"/>
    </row>
    <row r="145" spans="1:16" s="226" customFormat="1" ht="12.6" customHeight="1">
      <c r="A145" s="218" t="s">
        <v>162</v>
      </c>
      <c r="B145" s="219" t="s">
        <v>499</v>
      </c>
      <c r="C145" s="221">
        <f>'Order form'!P390</f>
        <v>0</v>
      </c>
      <c r="D145" s="221" t="str">
        <f>'Order form'!N388</f>
        <v>EW-3ESB</v>
      </c>
      <c r="E145" s="221" t="str">
        <f>'Order form'!N389</f>
        <v>ESD 3'' Swivel caster w/brake 150lbs cap. Roller bearing</v>
      </c>
      <c r="F145" s="222">
        <f>'Order form'!N390</f>
        <v>12</v>
      </c>
      <c r="G145" s="228">
        <f>F145*C145</f>
        <v>0</v>
      </c>
      <c r="H145" s="223">
        <v>1.1659999999999999</v>
      </c>
      <c r="I145" s="224">
        <f>C145*H145</f>
        <v>0</v>
      </c>
      <c r="J145" s="224">
        <f>I145*1.1</f>
        <v>0</v>
      </c>
      <c r="K145" s="224" t="s">
        <v>31</v>
      </c>
      <c r="L145" s="224">
        <f>'Order form'!Q391</f>
        <v>6</v>
      </c>
      <c r="M145" s="230">
        <f t="shared" si="31"/>
        <v>0</v>
      </c>
      <c r="N145" s="225">
        <f>L145*H145</f>
        <v>6.9959999999999996</v>
      </c>
      <c r="O145" s="395">
        <f t="shared" si="28"/>
        <v>0</v>
      </c>
      <c r="P145" s="420"/>
    </row>
    <row r="146" spans="1:16" s="226" customFormat="1" ht="12.6" customHeight="1">
      <c r="A146" s="218" t="s">
        <v>162</v>
      </c>
      <c r="B146" s="219" t="s">
        <v>168</v>
      </c>
      <c r="C146" s="221">
        <f>'Order form'!U390</f>
        <v>0</v>
      </c>
      <c r="D146" s="221" t="str">
        <f>'Order form'!S388</f>
        <v>W-4ESB</v>
      </c>
      <c r="E146" s="221" t="str">
        <f>'Order form'!S389</f>
        <v>4'' Swivel caster w/brake 250lbs cap. Roller bearing</v>
      </c>
      <c r="F146" s="222">
        <f>'Order form'!S390</f>
        <v>10</v>
      </c>
      <c r="G146" s="228">
        <f t="shared" si="29"/>
        <v>0</v>
      </c>
      <c r="H146" s="223">
        <v>1.881</v>
      </c>
      <c r="I146" s="224">
        <f t="shared" si="30"/>
        <v>0</v>
      </c>
      <c r="J146" s="224">
        <f t="shared" si="15"/>
        <v>0</v>
      </c>
      <c r="K146" s="224" t="s">
        <v>31</v>
      </c>
      <c r="L146" s="224">
        <f>'Order form'!V391</f>
        <v>4</v>
      </c>
      <c r="M146" s="230">
        <f t="shared" si="31"/>
        <v>0</v>
      </c>
      <c r="N146" s="225">
        <f t="shared" si="32"/>
        <v>7.524</v>
      </c>
      <c r="O146" s="395">
        <f t="shared" si="28"/>
        <v>0</v>
      </c>
      <c r="P146" s="420"/>
    </row>
    <row r="147" spans="1:16" s="226" customFormat="1" ht="12.6" customHeight="1">
      <c r="A147" s="218" t="s">
        <v>162</v>
      </c>
      <c r="B147" s="219" t="s">
        <v>168</v>
      </c>
      <c r="C147" s="221">
        <f>'Order form'!Z390</f>
        <v>0</v>
      </c>
      <c r="D147" s="221" t="str">
        <f>'Order form'!X388</f>
        <v>W-4EF</v>
      </c>
      <c r="E147" s="221" t="str">
        <f>'Order form'!X389</f>
        <v>4'' Rigid caster               250lbs cap. Roller bearing</v>
      </c>
      <c r="F147" s="222">
        <f>'Order form'!X390</f>
        <v>13</v>
      </c>
      <c r="G147" s="228">
        <f t="shared" si="29"/>
        <v>0</v>
      </c>
      <c r="H147" s="223">
        <v>1.496</v>
      </c>
      <c r="I147" s="224">
        <f t="shared" si="30"/>
        <v>0</v>
      </c>
      <c r="J147" s="224">
        <f t="shared" si="15"/>
        <v>0</v>
      </c>
      <c r="K147" s="224" t="s">
        <v>31</v>
      </c>
      <c r="L147" s="224">
        <f>'Order form'!AA391</f>
        <v>4</v>
      </c>
      <c r="M147" s="230">
        <f t="shared" si="31"/>
        <v>0</v>
      </c>
      <c r="N147" s="225">
        <f t="shared" si="32"/>
        <v>5.984</v>
      </c>
      <c r="O147" s="395">
        <f t="shared" si="28"/>
        <v>0</v>
      </c>
      <c r="P147" s="420"/>
    </row>
    <row r="148" spans="1:16" s="226" customFormat="1" ht="12.6" customHeight="1">
      <c r="A148" s="218" t="s">
        <v>162</v>
      </c>
      <c r="B148" s="219" t="s">
        <v>168</v>
      </c>
      <c r="C148" s="221">
        <f>'Order form'!F401</f>
        <v>0</v>
      </c>
      <c r="D148" s="221" t="str">
        <f>'Order form'!D399</f>
        <v>W-4PSB</v>
      </c>
      <c r="E148" s="221" t="str">
        <f>'Order form'!D400</f>
        <v>4'' Swivel caster w/brake  350lbs cap. Roller bearing</v>
      </c>
      <c r="F148" s="222">
        <f>'Order form'!D401</f>
        <v>10.75</v>
      </c>
      <c r="G148" s="228">
        <f t="shared" si="29"/>
        <v>0</v>
      </c>
      <c r="H148" s="223">
        <v>1.881</v>
      </c>
      <c r="I148" s="224">
        <f t="shared" si="30"/>
        <v>0</v>
      </c>
      <c r="J148" s="224">
        <f t="shared" si="15"/>
        <v>0</v>
      </c>
      <c r="K148" s="224" t="s">
        <v>31</v>
      </c>
      <c r="L148" s="224">
        <f>'Order form'!G402</f>
        <v>4</v>
      </c>
      <c r="M148" s="230">
        <f t="shared" si="31"/>
        <v>0</v>
      </c>
      <c r="N148" s="225">
        <f t="shared" si="32"/>
        <v>7.524</v>
      </c>
      <c r="O148" s="395">
        <f t="shared" si="28"/>
        <v>0</v>
      </c>
      <c r="P148" s="420"/>
    </row>
    <row r="149" spans="1:16" s="226" customFormat="1">
      <c r="A149" s="218" t="s">
        <v>162</v>
      </c>
      <c r="B149" s="219" t="s">
        <v>168</v>
      </c>
      <c r="C149" s="221">
        <f>'Order form'!K401</f>
        <v>0</v>
      </c>
      <c r="D149" s="221" t="str">
        <f>'Order form'!I399</f>
        <v>W-4PF</v>
      </c>
      <c r="E149" s="221" t="str">
        <f>'Order form'!I400</f>
        <v xml:space="preserve">4'' Rigid caster                350lbs cap. Roller bearing </v>
      </c>
      <c r="F149" s="222">
        <f>'Order form'!I401</f>
        <v>7.75</v>
      </c>
      <c r="G149" s="228">
        <f t="shared" si="29"/>
        <v>0</v>
      </c>
      <c r="H149" s="223">
        <v>1.804</v>
      </c>
      <c r="I149" s="224">
        <f t="shared" si="30"/>
        <v>0</v>
      </c>
      <c r="J149" s="224">
        <f t="shared" si="15"/>
        <v>0</v>
      </c>
      <c r="K149" s="224" t="s">
        <v>31</v>
      </c>
      <c r="L149" s="224">
        <f>'Order form'!L402</f>
        <v>4</v>
      </c>
      <c r="M149" s="230">
        <f t="shared" si="31"/>
        <v>0</v>
      </c>
      <c r="N149" s="225">
        <f t="shared" si="32"/>
        <v>7.2160000000000002</v>
      </c>
      <c r="O149" s="395">
        <f t="shared" si="28"/>
        <v>0</v>
      </c>
      <c r="P149" s="424"/>
    </row>
    <row r="150" spans="1:16" s="226" customFormat="1" ht="12.6" customHeight="1">
      <c r="A150" s="218" t="s">
        <v>162</v>
      </c>
      <c r="B150" s="219" t="s">
        <v>168</v>
      </c>
      <c r="C150" s="221">
        <f>'Order form'!U401</f>
        <v>0</v>
      </c>
      <c r="D150" s="221" t="str">
        <f>'Order form'!S399</f>
        <v>W-6PSB</v>
      </c>
      <c r="E150" s="221" t="str">
        <f>'Order form'!S400</f>
        <v>6'' Swivel caster w/brake    500lbs cap. Roller bearing</v>
      </c>
      <c r="F150" s="222">
        <f>'Order form'!S401</f>
        <v>22</v>
      </c>
      <c r="G150" s="228">
        <f>F150*C150</f>
        <v>0</v>
      </c>
      <c r="H150" s="229">
        <v>2.34</v>
      </c>
      <c r="I150" s="224">
        <f>C150*H150</f>
        <v>0</v>
      </c>
      <c r="J150" s="224">
        <f>I150*1.1</f>
        <v>0</v>
      </c>
      <c r="K150" s="224" t="s">
        <v>31</v>
      </c>
      <c r="L150" s="224">
        <f>'Order form'!V402</f>
        <v>2</v>
      </c>
      <c r="M150" s="230">
        <f t="shared" si="31"/>
        <v>0</v>
      </c>
      <c r="N150" s="225">
        <f>L150*H150</f>
        <v>4.68</v>
      </c>
      <c r="O150" s="395">
        <f t="shared" si="28"/>
        <v>0</v>
      </c>
      <c r="P150" s="421"/>
    </row>
    <row r="151" spans="1:16" s="226" customFormat="1" ht="12.6" customHeight="1">
      <c r="A151" s="218" t="s">
        <v>162</v>
      </c>
      <c r="B151" s="219" t="s">
        <v>168</v>
      </c>
      <c r="C151" s="221">
        <f>'Order form'!Z401</f>
        <v>0</v>
      </c>
      <c r="D151" s="221" t="str">
        <f>'Order form'!X399</f>
        <v>W-6PF</v>
      </c>
      <c r="E151" s="221" t="str">
        <f>'Order form'!X400</f>
        <v xml:space="preserve">6'' Rigid caster                  500lbs cap. Roller bearing </v>
      </c>
      <c r="F151" s="222">
        <f>'Order form'!X401</f>
        <v>17</v>
      </c>
      <c r="G151" s="228">
        <f>F151*C151</f>
        <v>0</v>
      </c>
      <c r="H151" s="223">
        <v>1.595</v>
      </c>
      <c r="I151" s="224">
        <f>C151*H151</f>
        <v>0</v>
      </c>
      <c r="J151" s="224">
        <f>I151*1.1</f>
        <v>0</v>
      </c>
      <c r="K151" s="224" t="s">
        <v>31</v>
      </c>
      <c r="L151" s="224">
        <f>'Order form'!AA402</f>
        <v>2</v>
      </c>
      <c r="M151" s="230">
        <f t="shared" si="31"/>
        <v>0</v>
      </c>
      <c r="N151" s="225">
        <f>L151*H151</f>
        <v>3.19</v>
      </c>
      <c r="O151" s="395">
        <f t="shared" si="28"/>
        <v>0</v>
      </c>
      <c r="P151" s="392">
        <f>SUM(G143:G151)</f>
        <v>0</v>
      </c>
    </row>
    <row r="152" spans="1:16" s="400" customFormat="1" ht="12.6" customHeight="1">
      <c r="A152" s="393" t="s">
        <v>164</v>
      </c>
      <c r="B152" s="394" t="s">
        <v>173</v>
      </c>
      <c r="C152" s="395">
        <f>'Order form'!F414</f>
        <v>0</v>
      </c>
      <c r="D152" s="395" t="str">
        <f>'Order form'!D412</f>
        <v>KIT-Q5</v>
      </c>
      <c r="E152" s="395" t="str">
        <f>'Order form'!D413</f>
        <v>Starter kit to build                   4-5 structures</v>
      </c>
      <c r="F152" s="396">
        <f>'Order form'!D414</f>
        <v>1500</v>
      </c>
      <c r="G152" s="396">
        <f t="shared" si="29"/>
        <v>0</v>
      </c>
      <c r="H152" s="671">
        <v>500</v>
      </c>
      <c r="I152" s="398">
        <f t="shared" si="30"/>
        <v>0</v>
      </c>
      <c r="J152" s="398">
        <f t="shared" si="15"/>
        <v>0</v>
      </c>
      <c r="K152" s="398" t="s">
        <v>431</v>
      </c>
      <c r="L152" s="398">
        <v>1</v>
      </c>
      <c r="M152" s="398">
        <f t="shared" ref="M152:M168" si="33">C152/L152</f>
        <v>0</v>
      </c>
      <c r="N152" s="399">
        <f t="shared" si="32"/>
        <v>500</v>
      </c>
      <c r="O152" s="395">
        <f t="shared" si="28"/>
        <v>0</v>
      </c>
      <c r="P152" s="1137"/>
    </row>
    <row r="153" spans="1:16" s="400" customFormat="1">
      <c r="A153" s="393" t="s">
        <v>164</v>
      </c>
      <c r="B153" s="394" t="s">
        <v>173</v>
      </c>
      <c r="C153" s="395">
        <f>'Order form'!K414</f>
        <v>0</v>
      </c>
      <c r="D153" s="395" t="str">
        <f>'Order form'!I412</f>
        <v>KIT-FLOW</v>
      </c>
      <c r="E153" s="395" t="str">
        <f>'Order form'!I413</f>
        <v>Starter kit to mainly build      4-5 flowrack structures</v>
      </c>
      <c r="F153" s="396">
        <f>'Order form'!I414</f>
        <v>1500</v>
      </c>
      <c r="G153" s="396">
        <f t="shared" si="29"/>
        <v>0</v>
      </c>
      <c r="H153" s="671">
        <v>500</v>
      </c>
      <c r="I153" s="398">
        <f t="shared" si="30"/>
        <v>0</v>
      </c>
      <c r="J153" s="398">
        <f t="shared" si="15"/>
        <v>0</v>
      </c>
      <c r="K153" s="398" t="s">
        <v>431</v>
      </c>
      <c r="L153" s="398">
        <v>1</v>
      </c>
      <c r="M153" s="398">
        <f t="shared" si="33"/>
        <v>0</v>
      </c>
      <c r="N153" s="399">
        <f t="shared" si="32"/>
        <v>500</v>
      </c>
      <c r="O153" s="395">
        <f t="shared" si="28"/>
        <v>0</v>
      </c>
      <c r="P153" s="1138"/>
    </row>
    <row r="154" spans="1:16" s="400" customFormat="1">
      <c r="A154" s="393" t="s">
        <v>164</v>
      </c>
      <c r="B154" s="394" t="s">
        <v>173</v>
      </c>
      <c r="C154" s="395">
        <f>'Order form'!P414</f>
        <v>0</v>
      </c>
      <c r="D154" s="395" t="str">
        <f>'Order form'!N412</f>
        <v>KIT-CART</v>
      </c>
      <c r="E154" s="395" t="str">
        <f>'Order form'!N413</f>
        <v>Starter kit to mainly build       4-5 cart structures</v>
      </c>
      <c r="F154" s="396">
        <f>'Order form'!N414</f>
        <v>1500</v>
      </c>
      <c r="G154" s="396">
        <f t="shared" si="29"/>
        <v>0</v>
      </c>
      <c r="H154" s="671">
        <v>500</v>
      </c>
      <c r="I154" s="398">
        <f t="shared" si="30"/>
        <v>0</v>
      </c>
      <c r="J154" s="398">
        <f t="shared" si="15"/>
        <v>0</v>
      </c>
      <c r="K154" s="398" t="s">
        <v>431</v>
      </c>
      <c r="L154" s="398">
        <v>1</v>
      </c>
      <c r="M154" s="398">
        <f t="shared" si="33"/>
        <v>0</v>
      </c>
      <c r="N154" s="399">
        <f t="shared" si="32"/>
        <v>500</v>
      </c>
      <c r="O154" s="395">
        <f t="shared" si="28"/>
        <v>0</v>
      </c>
      <c r="P154" s="1138"/>
    </row>
    <row r="155" spans="1:16" s="400" customFormat="1">
      <c r="A155" s="393" t="s">
        <v>164</v>
      </c>
      <c r="B155" s="394" t="s">
        <v>173</v>
      </c>
      <c r="C155" s="395">
        <f>'Order form'!U414</f>
        <v>0</v>
      </c>
      <c r="D155" s="395" t="str">
        <f>'Order form'!S412</f>
        <v>KIT-STATION</v>
      </c>
      <c r="E155" s="395" t="str">
        <f>'Order form'!S413</f>
        <v>Starter kit to mainly build       4-5 workstation structures</v>
      </c>
      <c r="F155" s="396">
        <f>'Order form'!S414</f>
        <v>1500</v>
      </c>
      <c r="G155" s="396">
        <f t="shared" si="29"/>
        <v>0</v>
      </c>
      <c r="H155" s="671">
        <v>500</v>
      </c>
      <c r="I155" s="398">
        <f t="shared" si="30"/>
        <v>0</v>
      </c>
      <c r="J155" s="398">
        <f t="shared" si="15"/>
        <v>0</v>
      </c>
      <c r="K155" s="398" t="s">
        <v>431</v>
      </c>
      <c r="L155" s="398">
        <v>1</v>
      </c>
      <c r="M155" s="398">
        <f t="shared" si="33"/>
        <v>0</v>
      </c>
      <c r="N155" s="399">
        <f t="shared" si="32"/>
        <v>500</v>
      </c>
      <c r="O155" s="395">
        <f t="shared" si="28"/>
        <v>0</v>
      </c>
      <c r="P155" s="1138"/>
    </row>
    <row r="156" spans="1:16" s="400" customFormat="1">
      <c r="A156" s="393" t="s">
        <v>164</v>
      </c>
      <c r="B156" s="394" t="s">
        <v>173</v>
      </c>
      <c r="C156" s="395">
        <f>'Order form'!Z414</f>
        <v>0</v>
      </c>
      <c r="D156" s="395" t="str">
        <f>'Order form'!X412</f>
        <v>KIT-SM</v>
      </c>
      <c r="E156" s="395" t="str">
        <f>'Order form'!X413</f>
        <v>Small starter kit to build               1-2 structures</v>
      </c>
      <c r="F156" s="396">
        <f>'Order form'!X414</f>
        <v>500</v>
      </c>
      <c r="G156" s="396">
        <f t="shared" si="29"/>
        <v>0</v>
      </c>
      <c r="H156" s="671">
        <v>200</v>
      </c>
      <c r="I156" s="398">
        <f t="shared" si="30"/>
        <v>0</v>
      </c>
      <c r="J156" s="398">
        <f t="shared" ref="J156:J173" si="34">I156*1.1</f>
        <v>0</v>
      </c>
      <c r="K156" s="398" t="s">
        <v>431</v>
      </c>
      <c r="L156" s="398">
        <v>1</v>
      </c>
      <c r="M156" s="398">
        <f t="shared" si="33"/>
        <v>0</v>
      </c>
      <c r="N156" s="399">
        <f t="shared" si="32"/>
        <v>200</v>
      </c>
      <c r="O156" s="395">
        <f t="shared" si="28"/>
        <v>0</v>
      </c>
      <c r="P156" s="1138"/>
    </row>
    <row r="157" spans="1:16" s="400" customFormat="1">
      <c r="A157" s="393" t="s">
        <v>164</v>
      </c>
      <c r="B157" s="394" t="s">
        <v>173</v>
      </c>
      <c r="C157" s="395">
        <f>'Order form'!F424</f>
        <v>0</v>
      </c>
      <c r="D157" s="395" t="str">
        <f>'Order form'!D422</f>
        <v>KIT-CRIB</v>
      </c>
      <c r="E157" s="395" t="s">
        <v>475</v>
      </c>
      <c r="F157" s="396">
        <f>'Order form'!D424</f>
        <v>1750</v>
      </c>
      <c r="G157" s="396">
        <f t="shared" si="29"/>
        <v>0</v>
      </c>
      <c r="H157" s="671">
        <v>600</v>
      </c>
      <c r="I157" s="398">
        <f t="shared" si="30"/>
        <v>0</v>
      </c>
      <c r="J157" s="398">
        <f t="shared" si="34"/>
        <v>0</v>
      </c>
      <c r="K157" s="398" t="s">
        <v>431</v>
      </c>
      <c r="L157" s="398">
        <v>1</v>
      </c>
      <c r="M157" s="398">
        <f t="shared" si="33"/>
        <v>0</v>
      </c>
      <c r="N157" s="399">
        <f t="shared" si="32"/>
        <v>600</v>
      </c>
      <c r="O157" s="395">
        <f t="shared" si="28"/>
        <v>0</v>
      </c>
      <c r="P157" s="1138"/>
    </row>
    <row r="158" spans="1:16" s="400" customFormat="1">
      <c r="A158" s="393"/>
      <c r="B158" s="394"/>
      <c r="C158" s="395">
        <f>'Order form'!K424</f>
        <v>0</v>
      </c>
      <c r="D158" s="395" t="str">
        <f>'Order form'!I422</f>
        <v>F-CTRAINING</v>
      </c>
      <c r="E158" s="395" t="str">
        <f>'Order form'!I423</f>
        <v>2 days full training at your facility: Click here for dates available</v>
      </c>
      <c r="F158" s="396">
        <f>'Order form'!I424</f>
        <v>3500</v>
      </c>
      <c r="G158" s="396">
        <f t="shared" si="29"/>
        <v>0</v>
      </c>
      <c r="H158" s="671">
        <v>0</v>
      </c>
      <c r="I158" s="398">
        <f t="shared" si="30"/>
        <v>0</v>
      </c>
      <c r="J158" s="398">
        <f t="shared" si="34"/>
        <v>0</v>
      </c>
      <c r="K158" s="398" t="s">
        <v>31</v>
      </c>
      <c r="L158" s="398">
        <v>1</v>
      </c>
      <c r="M158" s="398">
        <f t="shared" si="33"/>
        <v>0</v>
      </c>
      <c r="N158" s="399">
        <f t="shared" si="32"/>
        <v>0</v>
      </c>
      <c r="O158" s="395">
        <f t="shared" si="28"/>
        <v>0</v>
      </c>
      <c r="P158" s="1138"/>
    </row>
    <row r="159" spans="1:16" s="400" customFormat="1">
      <c r="A159" s="393"/>
      <c r="B159" s="394"/>
      <c r="C159" s="395">
        <f>'Order form'!P424</f>
        <v>0</v>
      </c>
      <c r="D159" s="395" t="str">
        <f>'Order form'!N422</f>
        <v>F-HTRAINING</v>
      </c>
      <c r="E159" s="395" t="str">
        <f>'Order form'!N423</f>
        <v>Trainings at Flexpipe's facility:  Click here for dates available</v>
      </c>
      <c r="F159" s="396">
        <v>0</v>
      </c>
      <c r="G159" s="396">
        <f t="shared" si="29"/>
        <v>0</v>
      </c>
      <c r="H159" s="671">
        <v>0</v>
      </c>
      <c r="I159" s="398">
        <f t="shared" si="30"/>
        <v>0</v>
      </c>
      <c r="J159" s="398">
        <f t="shared" si="34"/>
        <v>0</v>
      </c>
      <c r="K159" s="398" t="s">
        <v>31</v>
      </c>
      <c r="L159" s="398">
        <v>1</v>
      </c>
      <c r="M159" s="398">
        <f t="shared" si="33"/>
        <v>0</v>
      </c>
      <c r="N159" s="399">
        <f t="shared" si="32"/>
        <v>0</v>
      </c>
      <c r="O159" s="395">
        <f t="shared" si="28"/>
        <v>0</v>
      </c>
      <c r="P159" s="1138"/>
    </row>
    <row r="160" spans="1:16" s="400" customFormat="1">
      <c r="A160" s="393" t="s">
        <v>162</v>
      </c>
      <c r="B160" s="394" t="s">
        <v>168</v>
      </c>
      <c r="C160" s="395">
        <f>'Order form'!F434</f>
        <v>0</v>
      </c>
      <c r="D160" s="395" t="str">
        <f>'Order form'!D432</f>
        <v>T-REAMER</v>
      </c>
      <c r="E160" s="395" t="str">
        <f>'Order form'!D433</f>
        <v>Inner-outer pipe reamer</v>
      </c>
      <c r="F160" s="396">
        <f>'Order form'!D434</f>
        <v>30</v>
      </c>
      <c r="G160" s="396">
        <f t="shared" si="29"/>
        <v>0</v>
      </c>
      <c r="H160" s="671">
        <v>0.495</v>
      </c>
      <c r="I160" s="398">
        <f t="shared" si="30"/>
        <v>0</v>
      </c>
      <c r="J160" s="398">
        <f t="shared" si="34"/>
        <v>0</v>
      </c>
      <c r="K160" s="398" t="s">
        <v>31</v>
      </c>
      <c r="L160" s="398">
        <v>10</v>
      </c>
      <c r="M160" s="398">
        <f t="shared" si="33"/>
        <v>0</v>
      </c>
      <c r="N160" s="399">
        <f t="shared" si="32"/>
        <v>4.95</v>
      </c>
      <c r="O160" s="395">
        <f t="shared" si="28"/>
        <v>0</v>
      </c>
      <c r="P160" s="1138"/>
    </row>
    <row r="161" spans="1:17" s="400" customFormat="1">
      <c r="A161" s="393" t="s">
        <v>162</v>
      </c>
      <c r="B161" s="394" t="s">
        <v>168</v>
      </c>
      <c r="C161" s="395">
        <f>'Order form'!K434</f>
        <v>0</v>
      </c>
      <c r="D161" s="395" t="str">
        <f>'Order form'!I432</f>
        <v>T-DEBURR</v>
      </c>
      <c r="E161" s="395" t="str">
        <f>'Order form'!I433</f>
        <v>Hand deburring tool          with 2 blades</v>
      </c>
      <c r="F161" s="396">
        <f>'Order form'!I434</f>
        <v>30</v>
      </c>
      <c r="G161" s="396">
        <f t="shared" si="29"/>
        <v>0</v>
      </c>
      <c r="H161" s="397">
        <v>9.9000000000000005E-2</v>
      </c>
      <c r="I161" s="398">
        <f t="shared" si="30"/>
        <v>0</v>
      </c>
      <c r="J161" s="398">
        <f t="shared" si="34"/>
        <v>0</v>
      </c>
      <c r="K161" s="398" t="s">
        <v>31</v>
      </c>
      <c r="L161" s="398">
        <v>20</v>
      </c>
      <c r="M161" s="398">
        <f t="shared" si="33"/>
        <v>0</v>
      </c>
      <c r="N161" s="399">
        <f t="shared" si="32"/>
        <v>1.98</v>
      </c>
      <c r="O161" s="395">
        <f t="shared" si="28"/>
        <v>0</v>
      </c>
      <c r="P161" s="1138"/>
    </row>
    <row r="162" spans="1:17" s="400" customFormat="1">
      <c r="A162" s="393" t="s">
        <v>162</v>
      </c>
      <c r="B162" s="394" t="s">
        <v>168</v>
      </c>
      <c r="C162" s="395">
        <f>'Order form'!P434</f>
        <v>0</v>
      </c>
      <c r="D162" s="395" t="str">
        <f>'Order form'!N432</f>
        <v>T-BDEB</v>
      </c>
      <c r="E162" s="395" t="str">
        <f>'Order form'!N433</f>
        <v>5x blades for deburring tool</v>
      </c>
      <c r="F162" s="396">
        <f>'Order form'!N434</f>
        <v>20</v>
      </c>
      <c r="G162" s="396">
        <f t="shared" si="29"/>
        <v>0</v>
      </c>
      <c r="H162" s="397">
        <v>4.3999999999999997E-2</v>
      </c>
      <c r="I162" s="398">
        <f t="shared" si="30"/>
        <v>0</v>
      </c>
      <c r="J162" s="398">
        <f t="shared" si="34"/>
        <v>0</v>
      </c>
      <c r="K162" s="398" t="s">
        <v>31</v>
      </c>
      <c r="L162" s="398">
        <v>80</v>
      </c>
      <c r="M162" s="398">
        <f t="shared" si="33"/>
        <v>0</v>
      </c>
      <c r="N162" s="399">
        <f t="shared" si="32"/>
        <v>3.5199999999999996</v>
      </c>
      <c r="O162" s="395">
        <f t="shared" si="28"/>
        <v>0</v>
      </c>
      <c r="P162" s="413"/>
    </row>
    <row r="163" spans="1:17" s="400" customFormat="1">
      <c r="A163" s="393" t="s">
        <v>162</v>
      </c>
      <c r="B163" s="394" t="s">
        <v>168</v>
      </c>
      <c r="C163" s="395">
        <f>'Order form'!U434</f>
        <v>0</v>
      </c>
      <c r="D163" s="395" t="str">
        <f>'Order form'!S432</f>
        <v>T-SAW</v>
      </c>
      <c r="E163" s="395" t="str">
        <f>'Order form'!S433</f>
        <v>Portable band saw kit        18 volt (Milwaukee)</v>
      </c>
      <c r="F163" s="396">
        <f>'Order form'!S434</f>
        <v>325</v>
      </c>
      <c r="G163" s="396">
        <f t="shared" si="29"/>
        <v>0</v>
      </c>
      <c r="H163" s="671">
        <v>12.5</v>
      </c>
      <c r="I163" s="398">
        <f t="shared" si="30"/>
        <v>0</v>
      </c>
      <c r="J163" s="398">
        <f t="shared" si="34"/>
        <v>0</v>
      </c>
      <c r="K163" s="398" t="s">
        <v>31</v>
      </c>
      <c r="L163" s="398">
        <v>1</v>
      </c>
      <c r="M163" s="398">
        <f t="shared" si="33"/>
        <v>0</v>
      </c>
      <c r="N163" s="399">
        <f t="shared" si="32"/>
        <v>12.5</v>
      </c>
      <c r="O163" s="395">
        <f t="shared" si="28"/>
        <v>0</v>
      </c>
      <c r="P163" s="413"/>
    </row>
    <row r="164" spans="1:17" s="400" customFormat="1">
      <c r="A164" s="393" t="s">
        <v>162</v>
      </c>
      <c r="B164" s="394" t="s">
        <v>168</v>
      </c>
      <c r="C164" s="395">
        <f>'Order form'!Z434</f>
        <v>0</v>
      </c>
      <c r="D164" s="395" t="str">
        <f>'Order form'!X432</f>
        <v>T-BSAW</v>
      </c>
      <c r="E164" s="395" t="str">
        <f>'Order form'!X433</f>
        <v>3x portable band saw blades (Milwaukee)</v>
      </c>
      <c r="F164" s="396">
        <f>'Order form'!X434</f>
        <v>40</v>
      </c>
      <c r="G164" s="396">
        <f t="shared" si="29"/>
        <v>0</v>
      </c>
      <c r="H164" s="671">
        <v>0.35</v>
      </c>
      <c r="I164" s="398">
        <f t="shared" si="30"/>
        <v>0</v>
      </c>
      <c r="J164" s="398">
        <f t="shared" si="34"/>
        <v>0</v>
      </c>
      <c r="K164" s="398" t="s">
        <v>31</v>
      </c>
      <c r="L164" s="398">
        <v>1</v>
      </c>
      <c r="M164" s="398">
        <f t="shared" si="33"/>
        <v>0</v>
      </c>
      <c r="N164" s="399">
        <f t="shared" si="32"/>
        <v>0.35</v>
      </c>
      <c r="O164" s="395">
        <f t="shared" si="28"/>
        <v>0</v>
      </c>
      <c r="P164" s="413"/>
    </row>
    <row r="165" spans="1:17" s="400" customFormat="1">
      <c r="A165" s="393" t="s">
        <v>162</v>
      </c>
      <c r="B165" s="394" t="s">
        <v>168</v>
      </c>
      <c r="C165" s="395">
        <f>'Order form'!F444</f>
        <v>0</v>
      </c>
      <c r="D165" s="395" t="str">
        <f>'Order form'!D442</f>
        <v>T-CUTTER</v>
      </c>
      <c r="E165" s="395" t="str">
        <f>'Order form'!D443</f>
        <v>Pipe Cutter                        with 1 blade</v>
      </c>
      <c r="F165" s="396">
        <f>'Order form'!D444</f>
        <v>50</v>
      </c>
      <c r="G165" s="396">
        <f t="shared" si="29"/>
        <v>0</v>
      </c>
      <c r="H165" s="397">
        <v>0.64900000000000002</v>
      </c>
      <c r="I165" s="398">
        <f t="shared" si="30"/>
        <v>0</v>
      </c>
      <c r="J165" s="398">
        <f t="shared" si="34"/>
        <v>0</v>
      </c>
      <c r="K165" s="398" t="s">
        <v>31</v>
      </c>
      <c r="L165" s="398">
        <v>10</v>
      </c>
      <c r="M165" s="398">
        <f t="shared" si="33"/>
        <v>0</v>
      </c>
      <c r="N165" s="399">
        <f t="shared" si="32"/>
        <v>6.49</v>
      </c>
      <c r="O165" s="395">
        <f t="shared" si="28"/>
        <v>0</v>
      </c>
      <c r="P165" s="413"/>
    </row>
    <row r="166" spans="1:17" s="400" customFormat="1">
      <c r="A166" s="393" t="s">
        <v>162</v>
      </c>
      <c r="B166" s="394" t="s">
        <v>168</v>
      </c>
      <c r="C166" s="395">
        <f>'Order form'!K444</f>
        <v>0</v>
      </c>
      <c r="D166" s="395" t="str">
        <f>'Order form'!I442</f>
        <v>T-BCUT</v>
      </c>
      <c r="E166" s="395" t="str">
        <f>'Order form'!I443</f>
        <v>2x blades for pipe cutter</v>
      </c>
      <c r="F166" s="396">
        <f>'Order form'!I444</f>
        <v>10</v>
      </c>
      <c r="G166" s="396">
        <f t="shared" si="29"/>
        <v>0</v>
      </c>
      <c r="H166" s="397">
        <v>3.3000000000000002E-2</v>
      </c>
      <c r="I166" s="398">
        <f t="shared" si="30"/>
        <v>0</v>
      </c>
      <c r="J166" s="398">
        <f t="shared" si="34"/>
        <v>0</v>
      </c>
      <c r="K166" s="398" t="s">
        <v>31</v>
      </c>
      <c r="L166" s="398">
        <v>80</v>
      </c>
      <c r="M166" s="398">
        <f t="shared" si="33"/>
        <v>0</v>
      </c>
      <c r="N166" s="399">
        <f t="shared" si="32"/>
        <v>2.64</v>
      </c>
      <c r="O166" s="395">
        <f t="shared" si="28"/>
        <v>0</v>
      </c>
      <c r="P166" s="413"/>
    </row>
    <row r="167" spans="1:17" s="400" customFormat="1">
      <c r="A167" s="393" t="s">
        <v>162</v>
      </c>
      <c r="B167" s="394" t="s">
        <v>168</v>
      </c>
      <c r="C167" s="395">
        <f>'Order form'!P444</f>
        <v>0</v>
      </c>
      <c r="D167" s="395" t="str">
        <f>'Order form'!N442</f>
        <v>T-HANDLE</v>
      </c>
      <c r="E167" s="395" t="str">
        <f>'Order form'!N443</f>
        <v>T-handle allen key 5mm for M6</v>
      </c>
      <c r="F167" s="396">
        <f>'Order form'!N444</f>
        <v>9</v>
      </c>
      <c r="G167" s="396">
        <f t="shared" si="29"/>
        <v>0</v>
      </c>
      <c r="H167" s="397">
        <v>0.121</v>
      </c>
      <c r="I167" s="398">
        <f t="shared" si="30"/>
        <v>0</v>
      </c>
      <c r="J167" s="398">
        <f t="shared" si="34"/>
        <v>0</v>
      </c>
      <c r="K167" s="398" t="s">
        <v>31</v>
      </c>
      <c r="L167" s="398">
        <v>20</v>
      </c>
      <c r="M167" s="398">
        <f t="shared" si="33"/>
        <v>0</v>
      </c>
      <c r="N167" s="399">
        <f t="shared" si="32"/>
        <v>2.42</v>
      </c>
      <c r="O167" s="395">
        <f t="shared" si="28"/>
        <v>0</v>
      </c>
      <c r="P167" s="414"/>
    </row>
    <row r="168" spans="1:17" s="400" customFormat="1">
      <c r="A168" s="393" t="s">
        <v>162</v>
      </c>
      <c r="B168" s="394" t="s">
        <v>168</v>
      </c>
      <c r="C168" s="395">
        <f>'Order form'!U444</f>
        <v>0</v>
      </c>
      <c r="D168" s="395" t="str">
        <f>'Order form'!S442</f>
        <v>T-BIT</v>
      </c>
      <c r="E168" s="395" t="str">
        <f>'Order form'!S443</f>
        <v xml:space="preserve">5x drill bits 5mm for M6 : Use for impact gun </v>
      </c>
      <c r="F168" s="396">
        <f>'Order form'!S444</f>
        <v>30</v>
      </c>
      <c r="G168" s="396">
        <f t="shared" si="29"/>
        <v>0</v>
      </c>
      <c r="H168" s="397">
        <v>0.05</v>
      </c>
      <c r="I168" s="398">
        <f t="shared" si="30"/>
        <v>0</v>
      </c>
      <c r="J168" s="398">
        <f t="shared" si="34"/>
        <v>0</v>
      </c>
      <c r="K168" s="398" t="s">
        <v>31</v>
      </c>
      <c r="L168" s="398">
        <v>80</v>
      </c>
      <c r="M168" s="398">
        <f t="shared" si="33"/>
        <v>0</v>
      </c>
      <c r="N168" s="399">
        <f t="shared" si="32"/>
        <v>4</v>
      </c>
      <c r="O168" s="395">
        <f t="shared" si="28"/>
        <v>0</v>
      </c>
      <c r="P168" s="401">
        <f>SUM(G152:G168)</f>
        <v>0</v>
      </c>
    </row>
    <row r="169" spans="1:17">
      <c r="A169" s="232"/>
      <c r="B169" s="233"/>
      <c r="C169" s="234">
        <f>IF('Order form'!Y463&gt;0,1,0)</f>
        <v>0</v>
      </c>
      <c r="D169" s="234"/>
      <c r="E169" s="672" t="str">
        <f>'Order form'!S463</f>
        <v>OTHER MATERIAL:</v>
      </c>
      <c r="F169" s="673">
        <f>'Order form'!Y463</f>
        <v>0</v>
      </c>
      <c r="G169" s="235">
        <f>F169</f>
        <v>0</v>
      </c>
      <c r="H169" s="229">
        <f>'Order form'!AC463</f>
        <v>0</v>
      </c>
      <c r="I169" s="229">
        <f>H169</f>
        <v>0</v>
      </c>
      <c r="J169" s="217">
        <f t="shared" si="34"/>
        <v>0</v>
      </c>
      <c r="K169" s="236"/>
      <c r="L169" s="236"/>
      <c r="M169" s="236"/>
      <c r="N169" s="237"/>
      <c r="O169" s="395">
        <f t="shared" si="28"/>
        <v>0</v>
      </c>
      <c r="P169" s="231"/>
      <c r="Q169" s="207" t="s">
        <v>465</v>
      </c>
    </row>
    <row r="170" spans="1:17">
      <c r="A170" s="232"/>
      <c r="B170" s="233"/>
      <c r="C170" s="234">
        <f>IF('Order form'!Y464&gt;0,1,0)</f>
        <v>0</v>
      </c>
      <c r="D170" s="234"/>
      <c r="E170" s="672" t="str">
        <f>'Order form'!S464</f>
        <v>OTHER MATERIAL:</v>
      </c>
      <c r="F170" s="673">
        <f>'Order form'!Y464</f>
        <v>0</v>
      </c>
      <c r="G170" s="235">
        <f>F170</f>
        <v>0</v>
      </c>
      <c r="H170" s="229">
        <f>'Order form'!AC464</f>
        <v>0</v>
      </c>
      <c r="I170" s="229">
        <f>H170</f>
        <v>0</v>
      </c>
      <c r="J170" s="217">
        <f t="shared" si="34"/>
        <v>0</v>
      </c>
      <c r="K170" s="236"/>
      <c r="L170" s="236"/>
      <c r="M170" s="236"/>
      <c r="N170" s="237"/>
      <c r="O170" s="395">
        <f t="shared" si="28"/>
        <v>0</v>
      </c>
      <c r="P170" s="231"/>
      <c r="Q170" s="207" t="s">
        <v>465</v>
      </c>
    </row>
    <row r="171" spans="1:17" s="243" customFormat="1">
      <c r="A171" s="238"/>
      <c r="B171" s="238"/>
      <c r="C171" s="234">
        <f>IF('Order form'!Y466&gt;0,1,0)</f>
        <v>1</v>
      </c>
      <c r="D171" s="234"/>
      <c r="E171" s="234" t="str">
        <f>'Order form'!S466</f>
        <v>PREPARATION CHARGE:</v>
      </c>
      <c r="F171" s="239">
        <f>'Order form'!Y466</f>
        <v>25</v>
      </c>
      <c r="G171" s="235">
        <f t="shared" ref="G171:G173" si="35">F171*C171</f>
        <v>25</v>
      </c>
      <c r="H171" s="240"/>
      <c r="I171" s="234">
        <v>0</v>
      </c>
      <c r="J171" s="217">
        <f t="shared" si="34"/>
        <v>0</v>
      </c>
      <c r="K171" s="234"/>
      <c r="L171" s="234"/>
      <c r="M171" s="234"/>
      <c r="N171" s="241"/>
      <c r="O171" s="395">
        <f t="shared" si="28"/>
        <v>1</v>
      </c>
      <c r="P171" s="242"/>
      <c r="Q171" s="207" t="s">
        <v>464</v>
      </c>
    </row>
    <row r="172" spans="1:17" s="243" customFormat="1">
      <c r="A172" s="238"/>
      <c r="B172" s="238"/>
      <c r="C172" s="234">
        <f>IF('Order form'!Y467&gt;0,1,0)</f>
        <v>0</v>
      </c>
      <c r="D172" s="234"/>
      <c r="E172" s="234" t="str">
        <f>'Order form'!S467</f>
        <v>CUTTING CHARGE:</v>
      </c>
      <c r="F172" s="239">
        <f>'Order form'!Y467</f>
        <v>0</v>
      </c>
      <c r="G172" s="235">
        <f t="shared" si="35"/>
        <v>0</v>
      </c>
      <c r="H172" s="240"/>
      <c r="I172" s="234">
        <v>0</v>
      </c>
      <c r="J172" s="217">
        <f t="shared" si="34"/>
        <v>0</v>
      </c>
      <c r="K172" s="234"/>
      <c r="L172" s="234"/>
      <c r="M172" s="234"/>
      <c r="N172" s="241"/>
      <c r="O172" s="395">
        <f t="shared" si="28"/>
        <v>1</v>
      </c>
      <c r="P172" s="242"/>
      <c r="Q172" s="207" t="s">
        <v>464</v>
      </c>
    </row>
    <row r="173" spans="1:17" s="243" customFormat="1">
      <c r="A173" s="238"/>
      <c r="B173" s="238"/>
      <c r="C173" s="234">
        <f>IF('Order form'!Y468&gt;0,1,0)</f>
        <v>0</v>
      </c>
      <c r="D173" s="234"/>
      <c r="E173" s="234" t="str">
        <f>'Order form'!S468</f>
        <v>SHIPPING CHARGE:</v>
      </c>
      <c r="F173" s="239">
        <f>'Order form'!Y468</f>
        <v>0</v>
      </c>
      <c r="G173" s="235">
        <f t="shared" si="35"/>
        <v>0</v>
      </c>
      <c r="H173" s="240"/>
      <c r="I173" s="234">
        <v>0</v>
      </c>
      <c r="J173" s="217">
        <f t="shared" si="34"/>
        <v>0</v>
      </c>
      <c r="K173" s="234"/>
      <c r="L173" s="234"/>
      <c r="M173" s="234"/>
      <c r="N173" s="241"/>
      <c r="O173" s="395">
        <f t="shared" ref="O173" si="36">IF(C173=0,O172,O172+1)</f>
        <v>1</v>
      </c>
      <c r="P173" s="242"/>
      <c r="Q173" s="207" t="s">
        <v>464</v>
      </c>
    </row>
    <row r="174" spans="1:17" ht="6" customHeight="1">
      <c r="A174" s="238"/>
      <c r="B174" s="238"/>
      <c r="C174" s="238"/>
      <c r="D174" s="238"/>
      <c r="E174" s="238"/>
      <c r="F174" s="244"/>
      <c r="G174" s="244"/>
      <c r="H174" s="245"/>
      <c r="I174" s="238"/>
      <c r="J174" s="238"/>
      <c r="K174" s="238"/>
      <c r="L174" s="238"/>
      <c r="M174" s="238"/>
      <c r="N174" s="237"/>
      <c r="O174" s="234"/>
      <c r="P174" s="238"/>
    </row>
    <row r="175" spans="1:17" s="250" customFormat="1" ht="18.75">
      <c r="A175" s="246"/>
      <c r="B175" s="246"/>
      <c r="C175" s="246"/>
      <c r="D175" s="246" t="s">
        <v>7</v>
      </c>
      <c r="E175" s="246"/>
      <c r="F175" s="247"/>
      <c r="G175" s="247">
        <f>SUM(G2:G173)</f>
        <v>25</v>
      </c>
      <c r="H175" s="248"/>
      <c r="I175" s="246">
        <f>SUM(I4:I173)</f>
        <v>0</v>
      </c>
      <c r="J175" s="246">
        <f>SUM(J4:J173)</f>
        <v>0</v>
      </c>
      <c r="K175" s="246"/>
      <c r="L175" s="246"/>
      <c r="M175" s="246"/>
      <c r="N175" s="249"/>
      <c r="O175" s="246"/>
      <c r="P175" s="246"/>
    </row>
    <row r="176" spans="1:17">
      <c r="F176" s="207"/>
      <c r="G176" s="207"/>
      <c r="H176" s="1140" t="s">
        <v>112</v>
      </c>
      <c r="I176" s="1140"/>
      <c r="J176" s="1140"/>
      <c r="K176" s="1140"/>
      <c r="L176" s="1140"/>
      <c r="M176" s="207">
        <f>ROUNDUP(M4+M5+M6+M7+M8+M9+M10+M11+M12+M13+M21+M22,0)</f>
        <v>0</v>
      </c>
    </row>
    <row r="177" spans="3:13">
      <c r="F177" s="207"/>
      <c r="G177" s="207"/>
      <c r="H177" s="1141" t="s">
        <v>446</v>
      </c>
      <c r="I177" s="1141"/>
      <c r="J177" s="1141"/>
      <c r="K177" s="1141"/>
      <c r="L177" s="1141"/>
      <c r="M177" s="207">
        <f>ROUNDUP(SUM(M14:M21)+SUM(M23:M44)+SUM(M63:M76)+SUM(M91:M118)+SUM(M126:M140)+SUM(M144:M149)+SUM(M158:M162),0)</f>
        <v>0</v>
      </c>
    </row>
    <row r="178" spans="3:13">
      <c r="F178" s="207"/>
      <c r="G178" s="207"/>
      <c r="H178" s="1141" t="s">
        <v>111</v>
      </c>
      <c r="I178" s="1141"/>
      <c r="J178" s="1141"/>
      <c r="K178" s="1141"/>
      <c r="L178" s="1141"/>
      <c r="M178" s="207">
        <f>ROUNDUP(SUM(M123:M125),0)</f>
        <v>0</v>
      </c>
    </row>
    <row r="179" spans="3:13">
      <c r="F179" s="207"/>
      <c r="G179" s="207"/>
      <c r="H179" s="1141"/>
      <c r="I179" s="1141"/>
      <c r="J179" s="1141"/>
      <c r="K179" s="1141"/>
      <c r="L179" s="1141"/>
    </row>
    <row r="180" spans="3:13">
      <c r="C180" s="236" t="str">
        <f>Quotation!B57</f>
        <v>TRANSPORT SHOULD BE DONE BY:</v>
      </c>
      <c r="D180" s="238" t="s">
        <v>40</v>
      </c>
      <c r="E180" s="238" t="str">
        <f>Quotation!D57</f>
        <v>COURRIER</v>
      </c>
      <c r="F180" s="251">
        <v>0</v>
      </c>
      <c r="G180" s="252">
        <v>0</v>
      </c>
      <c r="H180" s="253"/>
      <c r="I180" s="254"/>
      <c r="J180" s="254"/>
      <c r="K180" s="254"/>
      <c r="L180" s="254"/>
    </row>
    <row r="181" spans="3:13">
      <c r="C181" s="255" t="s">
        <v>114</v>
      </c>
      <c r="D181" s="256">
        <f>IF(J175&lt;150,M176,0)</f>
        <v>0</v>
      </c>
      <c r="E181" s="256" t="s">
        <v>447</v>
      </c>
      <c r="F181" s="257">
        <f>IF(D181=0,H180,H180+1)</f>
        <v>0</v>
      </c>
      <c r="G181" s="258">
        <f>IF(F181=0,G180,G180+1)</f>
        <v>0</v>
      </c>
      <c r="H181" s="259"/>
    </row>
    <row r="182" spans="3:13">
      <c r="C182" s="255"/>
      <c r="D182" s="256">
        <f>IF(J175&lt;150,M177,0)</f>
        <v>0</v>
      </c>
      <c r="E182" s="256" t="s">
        <v>445</v>
      </c>
      <c r="F182" s="257">
        <f>IF(D182=0,H181,H181+1)</f>
        <v>0</v>
      </c>
      <c r="G182" s="258">
        <f t="shared" ref="G182:G186" si="37">IF(F182=0,G181,G181+1)</f>
        <v>0</v>
      </c>
      <c r="H182" s="259"/>
    </row>
    <row r="183" spans="3:13">
      <c r="C183" s="255"/>
      <c r="D183" s="256">
        <f>IF(J175&lt;150,M178,0)</f>
        <v>0</v>
      </c>
      <c r="E183" s="256" t="s">
        <v>444</v>
      </c>
      <c r="F183" s="257">
        <f>IF(D183=0,H182,H182+1)</f>
        <v>0</v>
      </c>
      <c r="G183" s="258">
        <f t="shared" si="37"/>
        <v>0</v>
      </c>
      <c r="H183" s="259"/>
    </row>
    <row r="184" spans="3:13">
      <c r="C184" s="1129" t="s">
        <v>115</v>
      </c>
      <c r="D184" s="260">
        <f>IF(J175&gt;150,IF((M176+M178)&gt;0,IF(J175&gt;1500,2,1),0),0)</f>
        <v>0</v>
      </c>
      <c r="E184" s="260" t="s">
        <v>642</v>
      </c>
      <c r="F184" s="261">
        <f>IF(D184=0,H183,H183+1)</f>
        <v>0</v>
      </c>
      <c r="G184" s="262">
        <f t="shared" si="37"/>
        <v>0</v>
      </c>
      <c r="H184" s="259"/>
      <c r="I184" s="214"/>
    </row>
    <row r="185" spans="3:13">
      <c r="C185" s="1130"/>
      <c r="D185" s="260">
        <f>IF((M176+M178)=0,IF(J175&gt;150,IF(J175&gt;1500,2,1),0),0)</f>
        <v>0</v>
      </c>
      <c r="E185" s="260" t="s">
        <v>641</v>
      </c>
      <c r="F185" s="261">
        <f>IF(D185=0,H184,H184+1)</f>
        <v>0</v>
      </c>
      <c r="G185" s="262">
        <f t="shared" si="37"/>
        <v>0</v>
      </c>
      <c r="H185" s="259"/>
      <c r="I185" s="214"/>
    </row>
    <row r="186" spans="3:13">
      <c r="C186" s="1131"/>
      <c r="D186" s="260"/>
      <c r="E186" s="260"/>
      <c r="F186" s="263"/>
      <c r="G186" s="262">
        <f t="shared" si="37"/>
        <v>0</v>
      </c>
      <c r="H186" s="259"/>
    </row>
    <row r="187" spans="3:13">
      <c r="D187" s="207">
        <f>SUM(D181:D185)</f>
        <v>0</v>
      </c>
    </row>
    <row r="188" spans="3:13">
      <c r="E188" s="214" t="s">
        <v>449</v>
      </c>
    </row>
    <row r="189" spans="3:13">
      <c r="E189" s="214" t="s">
        <v>448</v>
      </c>
    </row>
  </sheetData>
  <mergeCells count="10">
    <mergeCell ref="C184:C186"/>
    <mergeCell ref="P4:P9"/>
    <mergeCell ref="P13:P21"/>
    <mergeCell ref="P152:P161"/>
    <mergeCell ref="C1:N1"/>
    <mergeCell ref="H176:L176"/>
    <mergeCell ref="H177:L177"/>
    <mergeCell ref="H178:L178"/>
    <mergeCell ref="H179:L179"/>
    <mergeCell ref="P78:P90"/>
  </mergeCells>
  <phoneticPr fontId="11" type="noConversion"/>
  <conditionalFormatting sqref="A157 C169:C173 P171:P173 R171:IV173 A162:A170 B147:B149 B152:B157 C171:N173">
    <cfRule type="expression" dxfId="42" priority="71" stopIfTrue="1">
      <formula>$F147&gt;0</formula>
    </cfRule>
  </conditionalFormatting>
  <conditionalFormatting sqref="G171:G173 J152:J173 K111:K113 B143:O144 B145:N157 K115:K142 M92:M122 L111:N142 M144:M151 M153:M168 G152:G168 C158:O170 C170:C173 O5:O173 B4:O110 B111:J142 B144:B145">
    <cfRule type="expression" dxfId="41" priority="70" stopIfTrue="1">
      <formula>$C4&gt;0</formula>
    </cfRule>
  </conditionalFormatting>
  <conditionalFormatting sqref="C126:C127">
    <cfRule type="expression" dxfId="40" priority="69" stopIfTrue="1">
      <formula>$C126&gt;0</formula>
    </cfRule>
  </conditionalFormatting>
  <conditionalFormatting sqref="A161">
    <cfRule type="expression" dxfId="39" priority="42" stopIfTrue="1">
      <formula>$F161&gt;0</formula>
    </cfRule>
  </conditionalFormatting>
  <conditionalFormatting sqref="B161">
    <cfRule type="expression" dxfId="38" priority="34" stopIfTrue="1">
      <formula>$C161&gt;0</formula>
    </cfRule>
  </conditionalFormatting>
  <conditionalFormatting sqref="B161">
    <cfRule type="expression" dxfId="37" priority="33" stopIfTrue="1">
      <formula>$C161&gt;0</formula>
    </cfRule>
  </conditionalFormatting>
  <conditionalFormatting sqref="B160">
    <cfRule type="expression" dxfId="36" priority="32" stopIfTrue="1">
      <formula>$C160&gt;0</formula>
    </cfRule>
  </conditionalFormatting>
  <conditionalFormatting sqref="B160">
    <cfRule type="expression" dxfId="35" priority="31" stopIfTrue="1">
      <formula>$C160&gt;0</formula>
    </cfRule>
  </conditionalFormatting>
  <conditionalFormatting sqref="B159">
    <cfRule type="expression" dxfId="34" priority="26" stopIfTrue="1">
      <formula>$C159&gt;0</formula>
    </cfRule>
  </conditionalFormatting>
  <conditionalFormatting sqref="B159">
    <cfRule type="expression" dxfId="33" priority="25" stopIfTrue="1">
      <formula>$C159&gt;0</formula>
    </cfRule>
  </conditionalFormatting>
  <conditionalFormatting sqref="B158">
    <cfRule type="expression" dxfId="32" priority="24" stopIfTrue="1">
      <formula>$C158&gt;0</formula>
    </cfRule>
  </conditionalFormatting>
  <conditionalFormatting sqref="B158">
    <cfRule type="expression" dxfId="31" priority="23" stopIfTrue="1">
      <formula>$C158&gt;0</formula>
    </cfRule>
  </conditionalFormatting>
  <conditionalFormatting sqref="E63:E77">
    <cfRule type="expression" dxfId="30" priority="17" stopIfTrue="1">
      <formula>$C63&gt;0</formula>
    </cfRule>
  </conditionalFormatting>
  <conditionalFormatting sqref="E157">
    <cfRule type="expression" dxfId="29" priority="16" stopIfTrue="1">
      <formula>$C157&gt;0</formula>
    </cfRule>
  </conditionalFormatting>
  <conditionalFormatting sqref="B162:B168">
    <cfRule type="expression" dxfId="28" priority="15" stopIfTrue="1">
      <formula>$C162&gt;0</formula>
    </cfRule>
  </conditionalFormatting>
  <conditionalFormatting sqref="B162:B168">
    <cfRule type="expression" dxfId="27" priority="14" stopIfTrue="1">
      <formula>$C162&gt;0</formula>
    </cfRule>
  </conditionalFormatting>
  <conditionalFormatting sqref="B157">
    <cfRule type="expression" dxfId="26" priority="13" stopIfTrue="1">
      <formula>$F157&gt;0</formula>
    </cfRule>
  </conditionalFormatting>
  <conditionalFormatting sqref="B157">
    <cfRule type="expression" dxfId="25" priority="12" stopIfTrue="1">
      <formula>$C157&gt;0</formula>
    </cfRule>
  </conditionalFormatting>
  <conditionalFormatting sqref="B152">
    <cfRule type="expression" dxfId="24" priority="10" stopIfTrue="1">
      <formula>$F152&gt;0</formula>
    </cfRule>
  </conditionalFormatting>
  <conditionalFormatting sqref="B152">
    <cfRule type="expression" dxfId="23" priority="9" stopIfTrue="1">
      <formula>$C152&gt;0</formula>
    </cfRule>
  </conditionalFormatting>
  <conditionalFormatting sqref="B153">
    <cfRule type="expression" dxfId="22" priority="8" stopIfTrue="1">
      <formula>$F153&gt;0</formula>
    </cfRule>
  </conditionalFormatting>
  <conditionalFormatting sqref="B153">
    <cfRule type="expression" dxfId="21" priority="7" stopIfTrue="1">
      <formula>$C153&gt;0</formula>
    </cfRule>
  </conditionalFormatting>
  <conditionalFormatting sqref="B154">
    <cfRule type="expression" dxfId="20" priority="6" stopIfTrue="1">
      <formula>$F154&gt;0</formula>
    </cfRule>
  </conditionalFormatting>
  <conditionalFormatting sqref="B154">
    <cfRule type="expression" dxfId="19" priority="5" stopIfTrue="1">
      <formula>$C154&gt;0</formula>
    </cfRule>
  </conditionalFormatting>
  <conditionalFormatting sqref="B155">
    <cfRule type="expression" dxfId="18" priority="4" stopIfTrue="1">
      <formula>$F155&gt;0</formula>
    </cfRule>
  </conditionalFormatting>
  <conditionalFormatting sqref="B155">
    <cfRule type="expression" dxfId="17" priority="3" stopIfTrue="1">
      <formula>$C155&gt;0</formula>
    </cfRule>
  </conditionalFormatting>
  <conditionalFormatting sqref="B156">
    <cfRule type="expression" dxfId="16" priority="2" stopIfTrue="1">
      <formula>$F156&gt;0</formula>
    </cfRule>
  </conditionalFormatting>
  <conditionalFormatting sqref="B156">
    <cfRule type="expression" dxfId="15" priority="1" stopIfTrue="1">
      <formula>$C156&gt;0</formula>
    </cfRule>
  </conditionalFormatting>
  <conditionalFormatting sqref="K114">
    <cfRule type="expression" dxfId="14" priority="73" stopIfTrue="1">
      <formula>$C112&gt;0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G136"/>
  <sheetViews>
    <sheetView workbookViewId="0">
      <selection activeCell="A77" sqref="A77:XFD136"/>
    </sheetView>
  </sheetViews>
  <sheetFormatPr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157" t="s">
        <v>562</v>
      </c>
      <c r="C1" s="1158"/>
      <c r="D1" s="1161"/>
      <c r="E1" s="1162"/>
      <c r="F1" s="1165"/>
      <c r="G1" s="1167" t="s">
        <v>125</v>
      </c>
      <c r="H1" s="1168"/>
      <c r="I1" s="1168"/>
      <c r="J1" s="1169"/>
    </row>
    <row r="2" spans="1:15" ht="4.3499999999999996" customHeight="1" thickBot="1">
      <c r="A2" s="1"/>
      <c r="B2" s="1159"/>
      <c r="C2" s="1160"/>
      <c r="D2" s="1163"/>
      <c r="E2" s="1164"/>
      <c r="F2" s="1166"/>
      <c r="G2" s="1170"/>
      <c r="H2" s="1171"/>
      <c r="I2" s="1171"/>
      <c r="J2" s="1172"/>
      <c r="L2" s="11"/>
    </row>
    <row r="3" spans="1:15" ht="12.75" customHeight="1">
      <c r="A3" s="1"/>
      <c r="B3" s="70" t="s">
        <v>126</v>
      </c>
      <c r="C3" s="71"/>
      <c r="D3" s="71"/>
      <c r="E3" s="72"/>
      <c r="F3" s="73" t="s">
        <v>127</v>
      </c>
      <c r="G3" s="74"/>
      <c r="H3" s="75"/>
      <c r="I3" s="76" t="s">
        <v>128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129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130</v>
      </c>
      <c r="C9" s="71"/>
      <c r="D9" s="71"/>
      <c r="E9" s="118"/>
      <c r="F9" s="122"/>
      <c r="G9" s="121" t="s">
        <v>369</v>
      </c>
      <c r="H9" s="113" t="s">
        <v>131</v>
      </c>
      <c r="I9" s="1173"/>
      <c r="J9" s="1174"/>
      <c r="L9" s="1"/>
      <c r="O9" s="6"/>
    </row>
    <row r="10" spans="1:15" ht="13.5" thickBot="1">
      <c r="A10" s="1"/>
      <c r="B10" s="84">
        <f>'Order form'!H458</f>
        <v>0</v>
      </c>
      <c r="C10" s="85"/>
      <c r="D10" s="96"/>
      <c r="E10" s="119"/>
      <c r="F10" s="124"/>
      <c r="G10" s="79" t="s">
        <v>497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132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133</v>
      </c>
      <c r="J12" s="102"/>
      <c r="L12" s="1"/>
      <c r="O12" s="6"/>
    </row>
    <row r="13" spans="1:15" ht="13.5" thickBot="1">
      <c r="A13" s="1"/>
      <c r="B13" s="1175" t="s">
        <v>134</v>
      </c>
      <c r="C13" s="1176"/>
      <c r="D13" s="1177"/>
      <c r="E13" s="1177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135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136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137</v>
      </c>
      <c r="C18" s="87" t="s">
        <v>138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139</v>
      </c>
      <c r="C20" s="71"/>
      <c r="D20" s="71"/>
      <c r="E20" s="74"/>
      <c r="F20" s="8"/>
      <c r="G20" s="108" t="str">
        <f>VLOOKUP(G1,E99:Z101,16)</f>
        <v>Carrier:</v>
      </c>
      <c r="H20" s="1181" t="str">
        <f>'Order form'!H461</f>
        <v>Please write you account number if collect</v>
      </c>
      <c r="I20" s="1181"/>
      <c r="J20" s="1182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170</v>
      </c>
      <c r="H21" s="1183" t="str">
        <f>Quotation!D58</f>
        <v/>
      </c>
      <c r="I21" s="1183"/>
      <c r="J21" s="1184"/>
      <c r="L21" s="1"/>
      <c r="M21" s="1"/>
      <c r="N21" s="1"/>
      <c r="O21" s="7"/>
    </row>
    <row r="22" spans="1:33" ht="12.75" customHeight="1" thickBot="1">
      <c r="A22" s="1"/>
      <c r="B22" s="107" t="s">
        <v>137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185">
        <f>Resume!J175</f>
        <v>0</v>
      </c>
      <c r="I22" s="1185"/>
      <c r="J22" s="1186"/>
    </row>
    <row r="23" spans="1:33" ht="12.75" thickBot="1">
      <c r="A23" s="1"/>
      <c r="B23" s="65"/>
      <c r="C23" s="64"/>
      <c r="D23" s="64"/>
      <c r="E23" s="67"/>
      <c r="F23" s="68"/>
      <c r="G23" s="68"/>
      <c r="H23" s="1178"/>
      <c r="I23" s="1178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179" t="str">
        <f>VLOOKUP(G1,E99:Z101,14)</f>
        <v>DESCRIPTION</v>
      </c>
      <c r="H25" s="1180"/>
      <c r="I25" s="183" t="str">
        <f>VLOOKUP(G1,E99:AB101,15)</f>
        <v>UNIT PRICE</v>
      </c>
      <c r="J25" s="183" t="s">
        <v>69</v>
      </c>
    </row>
    <row r="26" spans="1:33" ht="13.15" customHeight="1">
      <c r="A26" s="1"/>
      <c r="B26" s="1"/>
      <c r="C26" s="185"/>
      <c r="D26" s="177"/>
      <c r="E26" s="178"/>
      <c r="F26" s="179"/>
      <c r="G26" s="1155"/>
      <c r="H26" s="1156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155"/>
      <c r="H27" s="1156"/>
      <c r="I27" s="178"/>
      <c r="J27" s="180"/>
    </row>
    <row r="28" spans="1:33" s="23" customFormat="1" ht="13.15" customHeight="1">
      <c r="A28" s="3"/>
      <c r="B28" s="22"/>
      <c r="C28" s="10" t="str">
        <f>IFERROR(INDEX(Resume!$A$3:$F$170,MATCH(ROW($B1),Resume!$O$3:$O$170,0),MATCH('Commercial Invoice'!C$25,Resume!$A$2:$F$2,0)),"")</f>
        <v/>
      </c>
      <c r="D28" s="181" t="str">
        <f>IFERROR(INDEX(Resume!$A$3:$F$170,MATCH(ROW($B1),Resume!$O$3:$O$170,0),MATCH('Commercial Invoice'!D$25,Resume!$A$2:$F$2,0)),"")</f>
        <v/>
      </c>
      <c r="E28" s="181" t="str">
        <f>IFERROR(INDEX(Resume!$A$3:$F$170,MATCH(ROW($B1),Resume!$O$3:$O$170,0),MATCH('Commercial Invoice'!E$25,Resume!$A$2:$F$2,0)),"")</f>
        <v/>
      </c>
      <c r="F28" s="181" t="str">
        <f>IFERROR(INDEX(Resume!$A$3:$F$170,MATCH(ROW($B1),Resume!$O$3:$O$170,0),MATCH('Commercial Invoice'!F$25,Resume!$A$2:$F$2,0)),"")</f>
        <v/>
      </c>
      <c r="G28" s="1145" t="str">
        <f>IFERROR(INDEX(Resume!$A$3:$F$170,MATCH(ROW($B1),Resume!$O$3:$O$170,0),MATCH('Commercial Invoice'!G$25,Resume!$A$2:$F$2,0)),"")</f>
        <v/>
      </c>
      <c r="H28" s="1146"/>
      <c r="I28" s="182" t="str">
        <f>IFERROR(INDEX(Resume!$A$3:$F$170,MATCH(ROW($B1),Resume!$O$3:$O$170,0),MATCH('Commercial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IFERROR(INDEX(Resume!$A$3:$F$170,MATCH(ROW($B2),Resume!$O$3:$O$170,0),MATCH('Commercial Invoice'!C$25,Resume!$A$2:$F$2,0)),"")</f>
        <v/>
      </c>
      <c r="D29" s="181" t="str">
        <f>IFERROR(INDEX(Resume!$A$3:$F$170,MATCH(ROW($B2),Resume!$O$3:$O$170,0),MATCH('Commercial Invoice'!D$25,Resume!$A$2:$F$2,0)),"")</f>
        <v/>
      </c>
      <c r="E29" s="181" t="str">
        <f>IFERROR(INDEX(Resume!$A$3:$F$170,MATCH(ROW($B2),Resume!$O$3:$O$170,0),MATCH('Commercial Invoice'!E$25,Resume!$A$2:$F$2,0)),"")</f>
        <v/>
      </c>
      <c r="F29" s="181" t="str">
        <f>IFERROR(INDEX(Resume!$A$3:$F$170,MATCH(ROW($B2),Resume!$O$3:$O$170,0),MATCH('Commercial Invoice'!F$25,Resume!$A$2:$F$2,0)),"")</f>
        <v/>
      </c>
      <c r="G29" s="1145" t="str">
        <f>IFERROR(INDEX(Resume!$A$3:$F$170,MATCH(ROW($B2),Resume!$O$3:$O$170,0),MATCH('Commercial Invoice'!G$25,Resume!$A$2:$F$2,0)),"")</f>
        <v/>
      </c>
      <c r="H29" s="1146"/>
      <c r="I29" s="182" t="str">
        <f>IFERROR(INDEX(Resume!$A$3:$F$170,MATCH(ROW($B2),Resume!$O$3:$O$170,0),MATCH('Commercial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>
      <c r="A30" s="1"/>
      <c r="B30" s="1"/>
      <c r="C30" s="10" t="str">
        <f>IFERROR(INDEX(Resume!$A$3:$F$170,MATCH(ROW($B3),Resume!$O$3:$O$170,0),MATCH('Commercial Invoice'!C$25,Resume!$A$2:$F$2,0)),"")</f>
        <v/>
      </c>
      <c r="D30" s="181" t="str">
        <f>IFERROR(INDEX(Resume!$A$3:$F$170,MATCH(ROW($B3),Resume!$O$3:$O$170,0),MATCH('Commercial Invoice'!D$25,Resume!$A$2:$F$2,0)),"")</f>
        <v/>
      </c>
      <c r="E30" s="181" t="str">
        <f>IFERROR(INDEX(Resume!$A$3:$F$170,MATCH(ROW($B3),Resume!$O$3:$O$170,0),MATCH('Commercial Invoice'!E$25,Resume!$A$2:$F$2,0)),"")</f>
        <v/>
      </c>
      <c r="F30" s="181" t="str">
        <f>IFERROR(INDEX(Resume!$A$3:$F$170,MATCH(ROW($B3),Resume!$O$3:$O$170,0),MATCH('Commercial Invoice'!F$25,Resume!$A$2:$F$2,0)),"")</f>
        <v/>
      </c>
      <c r="G30" s="1145" t="str">
        <f>IFERROR(INDEX(Resume!$A$3:$F$170,MATCH(ROW($B3),Resume!$O$3:$O$170,0),MATCH('Commercial Invoice'!G$25,Resume!$A$2:$F$2,0)),"")</f>
        <v/>
      </c>
      <c r="H30" s="1146"/>
      <c r="I30" s="182" t="str">
        <f>IFERROR(INDEX(Resume!$A$3:$F$170,MATCH(ROW($B3),Resume!$O$3:$O$170,0),MATCH('Commercial Invoice'!I$25,Resume!$A$2:$F$2,0)),"")</f>
        <v/>
      </c>
      <c r="J30" s="180" t="str">
        <f t="shared" si="0"/>
        <v/>
      </c>
      <c r="L30" s="13"/>
    </row>
    <row r="31" spans="1:33" ht="13.15" customHeight="1">
      <c r="A31" s="1"/>
      <c r="B31" s="1"/>
      <c r="C31" s="10" t="str">
        <f>IFERROR(INDEX(Resume!$A$3:$F$170,MATCH(ROW($B4),Resume!$O$3:$O$170,0),MATCH('Commercial Invoice'!C$25,Resume!$A$2:$F$2,0)),"")</f>
        <v/>
      </c>
      <c r="D31" s="181" t="str">
        <f>IFERROR(INDEX(Resume!$A$3:$F$170,MATCH(ROW($B4),Resume!$O$3:$O$170,0),MATCH('Commercial Invoice'!D$25,Resume!$A$2:$F$2,0)),"")</f>
        <v/>
      </c>
      <c r="E31" s="181" t="str">
        <f>IFERROR(INDEX(Resume!$A$3:$F$170,MATCH(ROW($B4),Resume!$O$3:$O$170,0),MATCH('Commercial Invoice'!E$25,Resume!$A$2:$F$2,0)),"")</f>
        <v/>
      </c>
      <c r="F31" s="181" t="str">
        <f>IFERROR(INDEX(Resume!$A$3:$F$170,MATCH(ROW($B4),Resume!$O$3:$O$170,0),MATCH('Commercial Invoice'!F$25,Resume!$A$2:$F$2,0)),"")</f>
        <v/>
      </c>
      <c r="G31" s="1145" t="str">
        <f>IFERROR(INDEX(Resume!$A$3:$F$170,MATCH(ROW($B4),Resume!$O$3:$O$170,0),MATCH('Commercial Invoice'!G$25,Resume!$A$2:$F$2,0)),"")</f>
        <v/>
      </c>
      <c r="H31" s="1146"/>
      <c r="I31" s="182" t="str">
        <f>IFERROR(INDEX(Resume!$A$3:$F$170,MATCH(ROW($B4),Resume!$O$3:$O$170,0),MATCH('Commercial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IFERROR(INDEX(Resume!$A$3:$F$170,MATCH(ROW($B5),Resume!$O$3:$O$170,0),MATCH('Commercial Invoice'!C$25,Resume!$A$2:$F$2,0)),"")</f>
        <v/>
      </c>
      <c r="D32" s="181" t="str">
        <f>IFERROR(INDEX(Resume!$A$3:$F$170,MATCH(ROW($B5),Resume!$O$3:$O$170,0),MATCH('Commercial Invoice'!D$25,Resume!$A$2:$F$2,0)),"")</f>
        <v/>
      </c>
      <c r="E32" s="181" t="str">
        <f>IFERROR(INDEX(Resume!$A$3:$F$170,MATCH(ROW($B5),Resume!$O$3:$O$170,0),MATCH('Commercial Invoice'!E$25,Resume!$A$2:$F$2,0)),"")</f>
        <v/>
      </c>
      <c r="F32" s="181" t="str">
        <f>IFERROR(INDEX(Resume!$A$3:$F$170,MATCH(ROW($B5),Resume!$O$3:$O$170,0),MATCH('Commercial Invoice'!F$25,Resume!$A$2:$F$2,0)),"")</f>
        <v/>
      </c>
      <c r="G32" s="1145" t="str">
        <f>IFERROR(INDEX(Resume!$A$3:$F$170,MATCH(ROW($B5),Resume!$O$3:$O$170,0),MATCH('Commercial Invoice'!G$25,Resume!$A$2:$F$2,0)),"")</f>
        <v/>
      </c>
      <c r="H32" s="1146"/>
      <c r="I32" s="182" t="str">
        <f>IFERROR(INDEX(Resume!$A$3:$F$170,MATCH(ROW($B5),Resume!$O$3:$O$170,0),MATCH('Commercial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IFERROR(INDEX(Resume!$A$3:$F$170,MATCH(ROW($B6),Resume!$O$3:$O$170,0),MATCH('Commercial Invoice'!C$25,Resume!$A$2:$F$2,0)),"")</f>
        <v/>
      </c>
      <c r="D33" s="181" t="str">
        <f>IFERROR(INDEX(Resume!$A$3:$F$170,MATCH(ROW($B6),Resume!$O$3:$O$170,0),MATCH('Commercial Invoice'!D$25,Resume!$A$2:$F$2,0)),"")</f>
        <v/>
      </c>
      <c r="E33" s="181" t="str">
        <f>IFERROR(INDEX(Resume!$A$3:$F$170,MATCH(ROW($B6),Resume!$O$3:$O$170,0),MATCH('Commercial Invoice'!E$25,Resume!$A$2:$F$2,0)),"")</f>
        <v/>
      </c>
      <c r="F33" s="181" t="str">
        <f>IFERROR(INDEX(Resume!$A$3:$F$170,MATCH(ROW($B6),Resume!$O$3:$O$170,0),MATCH('Commercial Invoice'!F$25,Resume!$A$2:$F$2,0)),"")</f>
        <v/>
      </c>
      <c r="G33" s="1145" t="str">
        <f>IFERROR(INDEX(Resume!$A$3:$F$170,MATCH(ROW($B6),Resume!$O$3:$O$170,0),MATCH('Commercial Invoice'!G$25,Resume!$A$2:$F$2,0)),"")</f>
        <v/>
      </c>
      <c r="H33" s="1146"/>
      <c r="I33" s="182" t="str">
        <f>IFERROR(INDEX(Resume!$A$3:$F$170,MATCH(ROW($B6),Resume!$O$3:$O$170,0),MATCH('Commercial Invoice'!I$25,Resume!$A$2:$F$2,0)),"")</f>
        <v/>
      </c>
      <c r="J33" s="180" t="str">
        <f t="shared" si="0"/>
        <v/>
      </c>
    </row>
    <row r="34" spans="1:12" ht="13.15" customHeight="1">
      <c r="A34" s="1"/>
      <c r="B34" s="1"/>
      <c r="C34" s="10" t="str">
        <f>IFERROR(INDEX(Resume!$A$3:$F$170,MATCH(ROW($B7),Resume!$O$3:$O$170,0),MATCH('Commercial Invoice'!C$25,Resume!$A$2:$F$2,0)),"")</f>
        <v/>
      </c>
      <c r="D34" s="181" t="str">
        <f>IFERROR(INDEX(Resume!$A$3:$F$170,MATCH(ROW($B7),Resume!$O$3:$O$170,0),MATCH('Commercial Invoice'!D$25,Resume!$A$2:$F$2,0)),"")</f>
        <v/>
      </c>
      <c r="E34" s="181" t="str">
        <f>IFERROR(INDEX(Resume!$A$3:$F$170,MATCH(ROW($B7),Resume!$O$3:$O$170,0),MATCH('Commercial Invoice'!E$25,Resume!$A$2:$F$2,0)),"")</f>
        <v/>
      </c>
      <c r="F34" s="181" t="str">
        <f>IFERROR(INDEX(Resume!$A$3:$F$170,MATCH(ROW($B7),Resume!$O$3:$O$170,0),MATCH('Commercial Invoice'!F$25,Resume!$A$2:$F$2,0)),"")</f>
        <v/>
      </c>
      <c r="G34" s="1145" t="str">
        <f>IFERROR(INDEX(Resume!$A$3:$F$170,MATCH(ROW($B7),Resume!$O$3:$O$170,0),MATCH('Commercial Invoice'!G$25,Resume!$A$2:$F$2,0)),"")</f>
        <v/>
      </c>
      <c r="H34" s="1146"/>
      <c r="I34" s="182" t="str">
        <f>IFERROR(INDEX(Resume!$A$3:$F$170,MATCH(ROW($B7),Resume!$O$3:$O$170,0),MATCH('Commercial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>
      <c r="A35" s="3"/>
      <c r="B35" s="3"/>
      <c r="C35" s="10" t="str">
        <f>IFERROR(INDEX(Resume!$A$3:$F$170,MATCH(ROW($B8),Resume!$O$3:$O$170,0),MATCH('Commercial Invoice'!C$25,Resume!$A$2:$F$2,0)),"")</f>
        <v/>
      </c>
      <c r="D35" s="181" t="str">
        <f>IFERROR(INDEX(Resume!$A$3:$F$170,MATCH(ROW($B8),Resume!$O$3:$O$170,0),MATCH('Commercial Invoice'!D$25,Resume!$A$2:$F$2,0)),"")</f>
        <v/>
      </c>
      <c r="E35" s="181" t="str">
        <f>IFERROR(INDEX(Resume!$A$3:$F$170,MATCH(ROW($B8),Resume!$O$3:$O$170,0),MATCH('Commercial Invoice'!E$25,Resume!$A$2:$F$2,0)),"")</f>
        <v/>
      </c>
      <c r="F35" s="181" t="str">
        <f>IFERROR(INDEX(Resume!$A$3:$F$170,MATCH(ROW($B8),Resume!$O$3:$O$170,0),MATCH('Commercial Invoice'!F$25,Resume!$A$2:$F$2,0)),"")</f>
        <v/>
      </c>
      <c r="G35" s="1145" t="str">
        <f>IFERROR(INDEX(Resume!$A$3:$F$170,MATCH(ROW($B8),Resume!$O$3:$O$170,0),MATCH('Commercial Invoice'!G$25,Resume!$A$2:$F$2,0)),"")</f>
        <v/>
      </c>
      <c r="H35" s="1146"/>
      <c r="I35" s="182" t="str">
        <f>IFERROR(INDEX(Resume!$A$3:$F$170,MATCH(ROW($B8),Resume!$O$3:$O$170,0),MATCH('Commercial Invoice'!I$25,Resume!$A$2:$F$2,0)),"")</f>
        <v/>
      </c>
      <c r="J35" s="180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IFERROR(INDEX(Resume!$A$3:$F$170,MATCH(ROW($B9),Resume!$O$3:$O$170,0),MATCH('Commercial Invoice'!C$25,Resume!$A$2:$F$2,0)),"")</f>
        <v/>
      </c>
      <c r="D36" s="181" t="str">
        <f>IFERROR(INDEX(Resume!$A$3:$F$170,MATCH(ROW($B9),Resume!$O$3:$O$170,0),MATCH('Commercial Invoice'!D$25,Resume!$A$2:$F$2,0)),"")</f>
        <v/>
      </c>
      <c r="E36" s="181" t="str">
        <f>IFERROR(INDEX(Resume!$A$3:$F$170,MATCH(ROW($B9),Resume!$O$3:$O$170,0),MATCH('Commercial Invoice'!E$25,Resume!$A$2:$F$2,0)),"")</f>
        <v/>
      </c>
      <c r="F36" s="181" t="str">
        <f>IFERROR(INDEX(Resume!$A$3:$F$170,MATCH(ROW($B9),Resume!$O$3:$O$170,0),MATCH('Commercial Invoice'!F$25,Resume!$A$2:$F$2,0)),"")</f>
        <v/>
      </c>
      <c r="G36" s="1145" t="str">
        <f>IFERROR(INDEX(Resume!$A$3:$F$170,MATCH(ROW($B9),Resume!$O$3:$O$170,0),MATCH('Commercial Invoice'!G$25,Resume!$A$2:$F$2,0)),"")</f>
        <v/>
      </c>
      <c r="H36" s="1146"/>
      <c r="I36" s="182" t="str">
        <f>IFERROR(INDEX(Resume!$A$3:$F$170,MATCH(ROW($B9),Resume!$O$3:$O$170,0),MATCH('Commercial Invoice'!I$25,Resume!$A$2:$F$2,0)),"")</f>
        <v/>
      </c>
      <c r="J36" s="180" t="str">
        <f t="shared" si="0"/>
        <v/>
      </c>
    </row>
    <row r="37" spans="1:12" ht="13.15" customHeight="1">
      <c r="A37" s="1"/>
      <c r="B37" s="1"/>
      <c r="C37" s="10" t="str">
        <f>IFERROR(INDEX(Resume!$A$3:$F$170,MATCH(ROW($B10),Resume!$O$3:$O$170,0),MATCH('Commercial Invoice'!C$25,Resume!$A$2:$F$2,0)),"")</f>
        <v/>
      </c>
      <c r="D37" s="181" t="str">
        <f>IFERROR(INDEX(Resume!$A$3:$F$170,MATCH(ROW($B10),Resume!$O$3:$O$170,0),MATCH('Commercial Invoice'!D$25,Resume!$A$2:$F$2,0)),"")</f>
        <v/>
      </c>
      <c r="E37" s="181" t="str">
        <f>IFERROR(INDEX(Resume!$A$3:$F$170,MATCH(ROW($B10),Resume!$O$3:$O$170,0),MATCH('Commercial Invoice'!E$25,Resume!$A$2:$F$2,0)),"")</f>
        <v/>
      </c>
      <c r="F37" s="181" t="str">
        <f>IFERROR(INDEX(Resume!$A$3:$F$170,MATCH(ROW($B10),Resume!$O$3:$O$170,0),MATCH('Commercial Invoice'!F$25,Resume!$A$2:$F$2,0)),"")</f>
        <v/>
      </c>
      <c r="G37" s="1145" t="str">
        <f>IFERROR(INDEX(Resume!$A$3:$F$170,MATCH(ROW($B10),Resume!$O$3:$O$170,0),MATCH('Commercial Invoice'!G$25,Resume!$A$2:$F$2,0)),"")</f>
        <v/>
      </c>
      <c r="H37" s="1146"/>
      <c r="I37" s="182" t="str">
        <f>IFERROR(INDEX(Resume!$A$3:$F$170,MATCH(ROW($B10),Resume!$O$3:$O$170,0),MATCH('Commercial Invoice'!I$25,Resume!$A$2:$F$2,0)),"")</f>
        <v/>
      </c>
      <c r="J37" s="180" t="str">
        <f t="shared" si="0"/>
        <v/>
      </c>
    </row>
    <row r="38" spans="1:12" ht="13.15" customHeight="1">
      <c r="A38" s="1"/>
      <c r="B38" s="1"/>
      <c r="C38" s="10" t="str">
        <f>IFERROR(INDEX(Resume!$A$3:$F$170,MATCH(ROW($B11),Resume!$O$3:$O$170,0),MATCH('Commercial Invoice'!C$25,Resume!$A$2:$F$2,0)),"")</f>
        <v/>
      </c>
      <c r="D38" s="181" t="str">
        <f>IFERROR(INDEX(Resume!$A$3:$F$170,MATCH(ROW($B11),Resume!$O$3:$O$170,0),MATCH('Commercial Invoice'!D$25,Resume!$A$2:$F$2,0)),"")</f>
        <v/>
      </c>
      <c r="E38" s="181" t="str">
        <f>IFERROR(INDEX(Resume!$A$3:$F$170,MATCH(ROW($B11),Resume!$O$3:$O$170,0),MATCH('Commercial Invoice'!E$25,Resume!$A$2:$F$2,0)),"")</f>
        <v/>
      </c>
      <c r="F38" s="181" t="str">
        <f>IFERROR(INDEX(Resume!$A$3:$F$170,MATCH(ROW($B11),Resume!$O$3:$O$170,0),MATCH('Commercial Invoice'!F$25,Resume!$A$2:$F$2,0)),"")</f>
        <v/>
      </c>
      <c r="G38" s="1145" t="str">
        <f>IFERROR(INDEX(Resume!$A$3:$F$170,MATCH(ROW($B11),Resume!$O$3:$O$170,0),MATCH('Commercial Invoice'!G$25,Resume!$A$2:$F$2,0)),"")</f>
        <v/>
      </c>
      <c r="H38" s="1146"/>
      <c r="I38" s="182" t="str">
        <f>IFERROR(INDEX(Resume!$A$3:$F$170,MATCH(ROW($B11),Resume!$O$3:$O$170,0),MATCH('Commercial Invoice'!I$25,Resume!$A$2:$F$2,0)),"")</f>
        <v/>
      </c>
      <c r="J38" s="180" t="str">
        <f t="shared" si="0"/>
        <v/>
      </c>
    </row>
    <row r="39" spans="1:12" ht="13.15" customHeight="1">
      <c r="A39" s="1"/>
      <c r="B39" s="1"/>
      <c r="C39" s="10" t="str">
        <f>IFERROR(INDEX(Resume!$A$3:$F$170,MATCH(ROW($B12),Resume!$O$3:$O$170,0),MATCH('Commercial Invoice'!C$25,Resume!$A$2:$F$2,0)),"")</f>
        <v/>
      </c>
      <c r="D39" s="181" t="str">
        <f>IFERROR(INDEX(Resume!$A$3:$F$170,MATCH(ROW($B12),Resume!$O$3:$O$170,0),MATCH('Commercial Invoice'!D$25,Resume!$A$2:$F$2,0)),"")</f>
        <v/>
      </c>
      <c r="E39" s="181" t="str">
        <f>IFERROR(INDEX(Resume!$A$3:$F$170,MATCH(ROW($B12),Resume!$O$3:$O$170,0),MATCH('Commercial Invoice'!E$25,Resume!$A$2:$F$2,0)),"")</f>
        <v/>
      </c>
      <c r="F39" s="181" t="str">
        <f>IFERROR(INDEX(Resume!$A$3:$F$170,MATCH(ROW($B12),Resume!$O$3:$O$170,0),MATCH('Commercial Invoice'!F$25,Resume!$A$2:$F$2,0)),"")</f>
        <v/>
      </c>
      <c r="G39" s="1145" t="str">
        <f>IFERROR(INDEX(Resume!$A$3:$F$170,MATCH(ROW($B12),Resume!$O$3:$O$170,0),MATCH('Commercial Invoice'!G$25,Resume!$A$2:$F$2,0)),"")</f>
        <v/>
      </c>
      <c r="H39" s="1146"/>
      <c r="I39" s="182" t="str">
        <f>IFERROR(INDEX(Resume!$A$3:$F$170,MATCH(ROW($B12),Resume!$O$3:$O$170,0),MATCH('Commercial Invoice'!I$25,Resume!$A$2:$F$2,0)),"")</f>
        <v/>
      </c>
      <c r="J39" s="180" t="str">
        <f t="shared" si="0"/>
        <v/>
      </c>
    </row>
    <row r="40" spans="1:12" ht="13.15" customHeight="1">
      <c r="A40" s="1"/>
      <c r="B40" s="1"/>
      <c r="C40" s="10" t="str">
        <f>IFERROR(INDEX(Resume!$A$3:$F$170,MATCH(ROW($B13),Resume!$O$3:$O$170,0),MATCH('Commercial Invoice'!C$25,Resume!$A$2:$F$2,0)),"")</f>
        <v/>
      </c>
      <c r="D40" s="181" t="str">
        <f>IFERROR(INDEX(Resume!$A$3:$F$170,MATCH(ROW($B13),Resume!$O$3:$O$170,0),MATCH('Commercial Invoice'!D$25,Resume!$A$2:$F$2,0)),"")</f>
        <v/>
      </c>
      <c r="E40" s="181" t="str">
        <f>IFERROR(INDEX(Resume!$A$3:$F$170,MATCH(ROW($B13),Resume!$O$3:$O$170,0),MATCH('Commercial Invoice'!E$25,Resume!$A$2:$F$2,0)),"")</f>
        <v/>
      </c>
      <c r="F40" s="181" t="str">
        <f>IFERROR(INDEX(Resume!$A$3:$F$170,MATCH(ROW($B13),Resume!$O$3:$O$170,0),MATCH('Commercial Invoice'!F$25,Resume!$A$2:$F$2,0)),"")</f>
        <v/>
      </c>
      <c r="G40" s="1145" t="str">
        <f>IFERROR(INDEX(Resume!$A$3:$F$170,MATCH(ROW($B13),Resume!$O$3:$O$170,0),MATCH('Commercial Invoice'!G$25,Resume!$A$2:$F$2,0)),"")</f>
        <v/>
      </c>
      <c r="H40" s="1146"/>
      <c r="I40" s="182" t="str">
        <f>IFERROR(INDEX(Resume!$A$3:$F$170,MATCH(ROW($B13),Resume!$O$3:$O$170,0),MATCH('Commercial Invoice'!I$25,Resume!$A$2:$F$2,0)),"")</f>
        <v/>
      </c>
      <c r="J40" s="180" t="str">
        <f t="shared" si="0"/>
        <v/>
      </c>
    </row>
    <row r="41" spans="1:12" ht="13.15" customHeight="1">
      <c r="A41" s="1"/>
      <c r="B41" s="1"/>
      <c r="C41" s="10" t="str">
        <f>IFERROR(INDEX(Resume!$A$3:$F$170,MATCH(ROW($B14),Resume!$O$3:$O$170,0),MATCH('Commercial Invoice'!C$25,Resume!$A$2:$F$2,0)),"")</f>
        <v/>
      </c>
      <c r="D41" s="181" t="str">
        <f>IFERROR(INDEX(Resume!$A$3:$F$170,MATCH(ROW($B14),Resume!$O$3:$O$170,0),MATCH('Commercial Invoice'!D$25,Resume!$A$2:$F$2,0)),"")</f>
        <v/>
      </c>
      <c r="E41" s="181" t="str">
        <f>IFERROR(INDEX(Resume!$A$3:$F$170,MATCH(ROW($B14),Resume!$O$3:$O$170,0),MATCH('Commercial Invoice'!E$25,Resume!$A$2:$F$2,0)),"")</f>
        <v/>
      </c>
      <c r="F41" s="181" t="str">
        <f>IFERROR(INDEX(Resume!$A$3:$F$170,MATCH(ROW($B14),Resume!$O$3:$O$170,0),MATCH('Commercial Invoice'!F$25,Resume!$A$2:$F$2,0)),"")</f>
        <v/>
      </c>
      <c r="G41" s="1145" t="str">
        <f>IFERROR(INDEX(Resume!$A$3:$F$170,MATCH(ROW($B14),Resume!$O$3:$O$170,0),MATCH('Commercial Invoice'!G$25,Resume!$A$2:$F$2,0)),"")</f>
        <v/>
      </c>
      <c r="H41" s="1146"/>
      <c r="I41" s="182" t="str">
        <f>IFERROR(INDEX(Resume!$A$3:$F$170,MATCH(ROW($B14),Resume!$O$3:$O$170,0),MATCH('Commercial Invoice'!I$25,Resume!$A$2:$F$2,0)),"")</f>
        <v/>
      </c>
      <c r="J41" s="180" t="str">
        <f t="shared" si="0"/>
        <v/>
      </c>
    </row>
    <row r="42" spans="1:12" ht="13.15" customHeight="1">
      <c r="A42" s="1"/>
      <c r="B42" s="1"/>
      <c r="C42" s="10" t="str">
        <f>IFERROR(INDEX(Resume!$A$3:$F$170,MATCH(ROW($B15),Resume!$O$3:$O$170,0),MATCH('Commercial Invoice'!C$25,Resume!$A$2:$F$2,0)),"")</f>
        <v/>
      </c>
      <c r="D42" s="181" t="str">
        <f>IFERROR(INDEX(Resume!$A$3:$F$170,MATCH(ROW($B15),Resume!$O$3:$O$170,0),MATCH('Commercial Invoice'!D$25,Resume!$A$2:$F$2,0)),"")</f>
        <v/>
      </c>
      <c r="E42" s="181" t="str">
        <f>IFERROR(INDEX(Resume!$A$3:$F$170,MATCH(ROW($B15),Resume!$O$3:$O$170,0),MATCH('Commercial Invoice'!E$25,Resume!$A$2:$F$2,0)),"")</f>
        <v/>
      </c>
      <c r="F42" s="181" t="str">
        <f>IFERROR(INDEX(Resume!$A$3:$F$170,MATCH(ROW($B15),Resume!$O$3:$O$170,0),MATCH('Commercial Invoice'!F$25,Resume!$A$2:$F$2,0)),"")</f>
        <v/>
      </c>
      <c r="G42" s="1145" t="str">
        <f>IFERROR(INDEX(Resume!$A$3:$F$170,MATCH(ROW($B15),Resume!$O$3:$O$170,0),MATCH('Commercial Invoice'!G$25,Resume!$A$2:$F$2,0)),"")</f>
        <v/>
      </c>
      <c r="H42" s="1146"/>
      <c r="I42" s="182" t="str">
        <f>IFERROR(INDEX(Resume!$A$3:$F$170,MATCH(ROW($B15),Resume!$O$3:$O$170,0),MATCH('Commercial Invoice'!I$25,Resume!$A$2:$F$2,0)),"")</f>
        <v/>
      </c>
      <c r="J42" s="180" t="str">
        <f t="shared" si="0"/>
        <v/>
      </c>
      <c r="L42" s="13"/>
    </row>
    <row r="43" spans="1:12" ht="13.15" customHeight="1">
      <c r="A43" s="1"/>
      <c r="B43" s="1"/>
      <c r="C43" s="10" t="str">
        <f>IFERROR(INDEX(Resume!$A$3:$F$170,MATCH(ROW($B16),Resume!$O$3:$O$170,0),MATCH('Commercial Invoice'!C$25,Resume!$A$2:$F$2,0)),"")</f>
        <v/>
      </c>
      <c r="D43" s="181" t="str">
        <f>IFERROR(INDEX(Resume!$A$3:$F$170,MATCH(ROW($B16),Resume!$O$3:$O$170,0),MATCH('Commercial Invoice'!D$25,Resume!$A$2:$F$2,0)),"")</f>
        <v/>
      </c>
      <c r="E43" s="181" t="str">
        <f>IFERROR(INDEX(Resume!$A$3:$F$170,MATCH(ROW($B16),Resume!$O$3:$O$170,0),MATCH('Commercial Invoice'!E$25,Resume!$A$2:$F$2,0)),"")</f>
        <v/>
      </c>
      <c r="F43" s="181" t="str">
        <f>IFERROR(INDEX(Resume!$A$3:$F$170,MATCH(ROW($B16),Resume!$O$3:$O$170,0),MATCH('Commercial Invoice'!F$25,Resume!$A$2:$F$2,0)),"")</f>
        <v/>
      </c>
      <c r="G43" s="1145" t="str">
        <f>IFERROR(INDEX(Resume!$A$3:$F$170,MATCH(ROW($B16),Resume!$O$3:$O$170,0),MATCH('Commercial Invoice'!G$25,Resume!$A$2:$F$2,0)),"")</f>
        <v/>
      </c>
      <c r="H43" s="1146"/>
      <c r="I43" s="182" t="str">
        <f>IFERROR(INDEX(Resume!$A$3:$F$170,MATCH(ROW($B16),Resume!$O$3:$O$170,0),MATCH('Commercial Invoice'!I$25,Resume!$A$2:$F$2,0)),"")</f>
        <v/>
      </c>
      <c r="J43" s="180" t="str">
        <f t="shared" si="0"/>
        <v/>
      </c>
    </row>
    <row r="44" spans="1:12" ht="13.15" customHeight="1">
      <c r="A44" s="1"/>
      <c r="B44" s="1"/>
      <c r="C44" s="10" t="str">
        <f>IFERROR(INDEX(Resume!$A$3:$F$170,MATCH(ROW($B17),Resume!$O$3:$O$170,0),MATCH('Commercial Invoice'!C$25,Resume!$A$2:$F$2,0)),"")</f>
        <v/>
      </c>
      <c r="D44" s="181" t="str">
        <f>IFERROR(INDEX(Resume!$A$3:$F$170,MATCH(ROW($B17),Resume!$O$3:$O$170,0),MATCH('Commercial Invoice'!D$25,Resume!$A$2:$F$2,0)),"")</f>
        <v/>
      </c>
      <c r="E44" s="181" t="str">
        <f>IFERROR(INDEX(Resume!$A$3:$F$170,MATCH(ROW($B17),Resume!$O$3:$O$170,0),MATCH('Commercial Invoice'!E$25,Resume!$A$2:$F$2,0)),"")</f>
        <v/>
      </c>
      <c r="F44" s="181" t="str">
        <f>IFERROR(INDEX(Resume!$A$3:$F$170,MATCH(ROW($B17),Resume!$O$3:$O$170,0),MATCH('Commercial Invoice'!F$25,Resume!$A$2:$F$2,0)),"")</f>
        <v/>
      </c>
      <c r="G44" s="1145" t="str">
        <f>IFERROR(INDEX(Resume!$A$3:$F$170,MATCH(ROW($B17),Resume!$O$3:$O$170,0),MATCH('Commercial Invoice'!G$25,Resume!$A$2:$F$2,0)),"")</f>
        <v/>
      </c>
      <c r="H44" s="1146"/>
      <c r="I44" s="182" t="str">
        <f>IFERROR(INDEX(Resume!$A$3:$F$170,MATCH(ROW($B17),Resume!$O$3:$O$170,0),MATCH('Commercial Invoice'!I$25,Resume!$A$2:$F$2,0)),"")</f>
        <v/>
      </c>
      <c r="J44" s="180" t="str">
        <f t="shared" si="0"/>
        <v/>
      </c>
    </row>
    <row r="45" spans="1:12" ht="13.15" customHeight="1">
      <c r="A45" s="1"/>
      <c r="B45" s="1"/>
      <c r="C45" s="10" t="str">
        <f>IFERROR(INDEX(Resume!$A$3:$F$170,MATCH(ROW($B18),Resume!$O$3:$O$170,0),MATCH('Commercial Invoice'!C$25,Resume!$A$2:$F$2,0)),"")</f>
        <v/>
      </c>
      <c r="D45" s="181" t="str">
        <f>IFERROR(INDEX(Resume!$A$3:$F$170,MATCH(ROW($B18),Resume!$O$3:$O$170,0),MATCH('Commercial Invoice'!D$25,Resume!$A$2:$F$2,0)),"")</f>
        <v/>
      </c>
      <c r="E45" s="181" t="str">
        <f>IFERROR(INDEX(Resume!$A$3:$F$170,MATCH(ROW($B18),Resume!$O$3:$O$170,0),MATCH('Commercial Invoice'!E$25,Resume!$A$2:$F$2,0)),"")</f>
        <v/>
      </c>
      <c r="F45" s="181" t="str">
        <f>IFERROR(INDEX(Resume!$A$3:$F$170,MATCH(ROW($B18),Resume!$O$3:$O$170,0),MATCH('Commercial Invoice'!F$25,Resume!$A$2:$F$2,0)),"")</f>
        <v/>
      </c>
      <c r="G45" s="1145" t="str">
        <f>IFERROR(INDEX(Resume!$A$3:$F$170,MATCH(ROW($B18),Resume!$O$3:$O$170,0),MATCH('Commercial Invoice'!G$25,Resume!$A$2:$F$2,0)),"")</f>
        <v/>
      </c>
      <c r="H45" s="1146"/>
      <c r="I45" s="182" t="str">
        <f>IFERROR(INDEX(Resume!$A$3:$F$170,MATCH(ROW($B18),Resume!$O$3:$O$170,0),MATCH('Commercial Invoice'!I$25,Resume!$A$2:$F$2,0)),"")</f>
        <v/>
      </c>
      <c r="J45" s="180" t="str">
        <f t="shared" si="0"/>
        <v/>
      </c>
    </row>
    <row r="46" spans="1:12" ht="13.15" customHeight="1">
      <c r="A46" s="1"/>
      <c r="B46" s="1"/>
      <c r="C46" s="10" t="str">
        <f>IFERROR(INDEX(Resume!$A$3:$F$170,MATCH(ROW($B19),Resume!$O$3:$O$170,0),MATCH('Commercial Invoice'!C$25,Resume!$A$2:$F$2,0)),"")</f>
        <v/>
      </c>
      <c r="D46" s="181" t="str">
        <f>IFERROR(INDEX(Resume!$A$3:$F$170,MATCH(ROW($B19),Resume!$O$3:$O$170,0),MATCH('Commercial Invoice'!D$25,Resume!$A$2:$F$2,0)),"")</f>
        <v/>
      </c>
      <c r="E46" s="181" t="str">
        <f>IFERROR(INDEX(Resume!$A$3:$F$170,MATCH(ROW($B19),Resume!$O$3:$O$170,0),MATCH('Commercial Invoice'!E$25,Resume!$A$2:$F$2,0)),"")</f>
        <v/>
      </c>
      <c r="F46" s="181" t="str">
        <f>IFERROR(INDEX(Resume!$A$3:$F$170,MATCH(ROW($B19),Resume!$O$3:$O$170,0),MATCH('Commercial Invoice'!F$25,Resume!$A$2:$F$2,0)),"")</f>
        <v/>
      </c>
      <c r="G46" s="1145" t="str">
        <f>IFERROR(INDEX(Resume!$A$3:$F$170,MATCH(ROW($B19),Resume!$O$3:$O$170,0),MATCH('Commercial Invoice'!G$25,Resume!$A$2:$F$2,0)),"")</f>
        <v/>
      </c>
      <c r="H46" s="1146"/>
      <c r="I46" s="182" t="str">
        <f>IFERROR(INDEX(Resume!$A$3:$F$170,MATCH(ROW($B19),Resume!$O$3:$O$170,0),MATCH('Commercial Invoice'!I$25,Resume!$A$2:$F$2,0)),"")</f>
        <v/>
      </c>
      <c r="J46" s="180" t="str">
        <f t="shared" si="0"/>
        <v/>
      </c>
    </row>
    <row r="47" spans="1:12" ht="13.15" customHeight="1">
      <c r="A47" s="1"/>
      <c r="B47" s="1"/>
      <c r="C47" s="10" t="str">
        <f>IFERROR(INDEX(Resume!$A$3:$F$170,MATCH(ROW($B20),Resume!$O$3:$O$170,0),MATCH('Commercial Invoice'!C$25,Resume!$A$2:$F$2,0)),"")</f>
        <v/>
      </c>
      <c r="D47" s="181" t="str">
        <f>IFERROR(INDEX(Resume!$A$3:$F$170,MATCH(ROW($B20),Resume!$O$3:$O$170,0),MATCH('Commercial Invoice'!D$25,Resume!$A$2:$F$2,0)),"")</f>
        <v/>
      </c>
      <c r="E47" s="181" t="str">
        <f>IFERROR(INDEX(Resume!$A$3:$F$170,MATCH(ROW($B20),Resume!$O$3:$O$170,0),MATCH('Commercial Invoice'!E$25,Resume!$A$2:$F$2,0)),"")</f>
        <v/>
      </c>
      <c r="F47" s="181" t="str">
        <f>IFERROR(INDEX(Resume!$A$3:$F$170,MATCH(ROW($B20),Resume!$O$3:$O$170,0),MATCH('Commercial Invoice'!F$25,Resume!$A$2:$F$2,0)),"")</f>
        <v/>
      </c>
      <c r="G47" s="1145" t="str">
        <f>IFERROR(INDEX(Resume!$A$3:$F$170,MATCH(ROW($B20),Resume!$O$3:$O$170,0),MATCH('Commercial Invoice'!G$25,Resume!$A$2:$F$2,0)),"")</f>
        <v/>
      </c>
      <c r="H47" s="1146"/>
      <c r="I47" s="182" t="str">
        <f>IFERROR(INDEX(Resume!$A$3:$F$170,MATCH(ROW($B20),Resume!$O$3:$O$170,0),MATCH('Commercial Invoice'!I$25,Resume!$A$2:$F$2,0)),"")</f>
        <v/>
      </c>
      <c r="J47" s="180" t="str">
        <f t="shared" si="0"/>
        <v/>
      </c>
    </row>
    <row r="48" spans="1:12" ht="13.15" customHeight="1">
      <c r="A48" s="1"/>
      <c r="B48" s="1"/>
      <c r="C48" s="10" t="str">
        <f>IFERROR(INDEX(Resume!$A$3:$F$170,MATCH(ROW($B21),Resume!$O$3:$O$170,0),MATCH('Commercial Invoice'!C$25,Resume!$A$2:$F$2,0)),"")</f>
        <v/>
      </c>
      <c r="D48" s="181" t="str">
        <f>IFERROR(INDEX(Resume!$A$3:$F$170,MATCH(ROW($B21),Resume!$O$3:$O$170,0),MATCH('Commercial Invoice'!D$25,Resume!$A$2:$F$2,0)),"")</f>
        <v/>
      </c>
      <c r="E48" s="181" t="str">
        <f>IFERROR(INDEX(Resume!$A$3:$F$170,MATCH(ROW($B21),Resume!$O$3:$O$170,0),MATCH('Commercial Invoice'!E$25,Resume!$A$2:$F$2,0)),"")</f>
        <v/>
      </c>
      <c r="F48" s="181" t="str">
        <f>IFERROR(INDEX(Resume!$A$3:$F$170,MATCH(ROW($B21),Resume!$O$3:$O$170,0),MATCH('Commercial Invoice'!F$25,Resume!$A$2:$F$2,0)),"")</f>
        <v/>
      </c>
      <c r="G48" s="1145" t="str">
        <f>IFERROR(INDEX(Resume!$A$3:$F$170,MATCH(ROW($B21),Resume!$O$3:$O$170,0),MATCH('Commercial Invoice'!G$25,Resume!$A$2:$F$2,0)),"")</f>
        <v/>
      </c>
      <c r="H48" s="1146"/>
      <c r="I48" s="182" t="str">
        <f>IFERROR(INDEX(Resume!$A$3:$F$170,MATCH(ROW($B21),Resume!$O$3:$O$170,0),MATCH('Commercial Invoice'!I$25,Resume!$A$2:$F$2,0)),"")</f>
        <v/>
      </c>
      <c r="J48" s="180" t="str">
        <f t="shared" si="0"/>
        <v/>
      </c>
    </row>
    <row r="49" spans="1:13" ht="13.15" customHeight="1">
      <c r="A49" s="1"/>
      <c r="B49" s="1"/>
      <c r="C49" s="10" t="str">
        <f>IFERROR(INDEX(Resume!$A$3:$F$170,MATCH(ROW($B22),Resume!$O$3:$O$170,0),MATCH('Commercial Invoice'!C$25,Resume!$A$2:$F$2,0)),"")</f>
        <v/>
      </c>
      <c r="D49" s="181" t="str">
        <f>IFERROR(INDEX(Resume!$A$3:$F$170,MATCH(ROW($B22),Resume!$O$3:$O$170,0),MATCH('Commercial Invoice'!D$25,Resume!$A$2:$F$2,0)),"")</f>
        <v/>
      </c>
      <c r="E49" s="181" t="str">
        <f>IFERROR(INDEX(Resume!$A$3:$F$170,MATCH(ROW($B22),Resume!$O$3:$O$170,0),MATCH('Commercial Invoice'!E$25,Resume!$A$2:$F$2,0)),"")</f>
        <v/>
      </c>
      <c r="F49" s="181" t="str">
        <f>IFERROR(INDEX(Resume!$A$3:$F$170,MATCH(ROW($B22),Resume!$O$3:$O$170,0),MATCH('Commercial Invoice'!F$25,Resume!$A$2:$F$2,0)),"")</f>
        <v/>
      </c>
      <c r="G49" s="1145" t="str">
        <f>IFERROR(INDEX(Resume!$A$3:$F$170,MATCH(ROW($B22),Resume!$O$3:$O$170,0),MATCH('Commercial Invoice'!G$25,Resume!$A$2:$F$2,0)),"")</f>
        <v/>
      </c>
      <c r="H49" s="1146"/>
      <c r="I49" s="182" t="str">
        <f>IFERROR(INDEX(Resume!$A$3:$F$170,MATCH(ROW($B22),Resume!$O$3:$O$170,0),MATCH('Commercial Invoice'!I$25,Resume!$A$2:$F$2,0)),"")</f>
        <v/>
      </c>
      <c r="J49" s="180" t="str">
        <f t="shared" si="0"/>
        <v/>
      </c>
      <c r="L49" s="13"/>
    </row>
    <row r="50" spans="1:13" ht="13.15" customHeight="1">
      <c r="A50" s="1"/>
      <c r="B50" s="1"/>
      <c r="C50" s="10" t="str">
        <f>IFERROR(INDEX(Resume!$A$3:$F$170,MATCH(ROW($B23),Resume!$O$3:$O$170,0),MATCH('Commercial Invoice'!C$25,Resume!$A$2:$F$2,0)),"")</f>
        <v/>
      </c>
      <c r="D50" s="181" t="str">
        <f>IFERROR(INDEX(Resume!$A$3:$F$170,MATCH(ROW($B23),Resume!$O$3:$O$170,0),MATCH('Commercial Invoice'!D$25,Resume!$A$2:$F$2,0)),"")</f>
        <v/>
      </c>
      <c r="E50" s="181" t="str">
        <f>IFERROR(INDEX(Resume!$A$3:$F$170,MATCH(ROW($B23),Resume!$O$3:$O$170,0),MATCH('Commercial Invoice'!E$25,Resume!$A$2:$F$2,0)),"")</f>
        <v/>
      </c>
      <c r="F50" s="181" t="str">
        <f>IFERROR(INDEX(Resume!$A$3:$F$170,MATCH(ROW($B23),Resume!$O$3:$O$170,0),MATCH('Commercial Invoice'!F$25,Resume!$A$2:$F$2,0)),"")</f>
        <v/>
      </c>
      <c r="G50" s="1145" t="str">
        <f>IFERROR(INDEX(Resume!$A$3:$F$170,MATCH(ROW($B23),Resume!$O$3:$O$170,0),MATCH('Commercial Invoice'!G$25,Resume!$A$2:$F$2,0)),"")</f>
        <v/>
      </c>
      <c r="H50" s="1146"/>
      <c r="I50" s="182" t="str">
        <f>IFERROR(INDEX(Resume!$A$3:$F$170,MATCH(ROW($B23),Resume!$O$3:$O$170,0),MATCH('Commercial Invoice'!I$25,Resume!$A$2:$F$2,0)),"")</f>
        <v/>
      </c>
      <c r="J50" s="180" t="str">
        <f t="shared" si="0"/>
        <v/>
      </c>
      <c r="L50" s="13"/>
    </row>
    <row r="51" spans="1:13" ht="13.15" customHeight="1">
      <c r="A51" s="1"/>
      <c r="B51" s="1"/>
      <c r="C51" s="10" t="str">
        <f>IFERROR(INDEX(Resume!$A$3:$F$170,MATCH(ROW($B24),Resume!$O$3:$O$170,0),MATCH('Commercial Invoice'!C$25,Resume!$A$2:$F$2,0)),"")</f>
        <v/>
      </c>
      <c r="D51" s="181" t="str">
        <f>IFERROR(INDEX(Resume!$A$3:$F$170,MATCH(ROW($B24),Resume!$O$3:$O$170,0),MATCH('Commercial Invoice'!D$25,Resume!$A$2:$F$2,0)),"")</f>
        <v/>
      </c>
      <c r="E51" s="181" t="str">
        <f>IFERROR(INDEX(Resume!$A$3:$F$170,MATCH(ROW($B24),Resume!$O$3:$O$170,0),MATCH('Commercial Invoice'!E$25,Resume!$A$2:$F$2,0)),"")</f>
        <v/>
      </c>
      <c r="F51" s="181" t="str">
        <f>IFERROR(INDEX(Resume!$A$3:$F$170,MATCH(ROW($B24),Resume!$O$3:$O$170,0),MATCH('Commercial Invoice'!F$25,Resume!$A$2:$F$2,0)),"")</f>
        <v/>
      </c>
      <c r="G51" s="1145" t="str">
        <f>IFERROR(INDEX(Resume!$A$3:$F$170,MATCH(ROW($B24),Resume!$O$3:$O$170,0),MATCH('Commercial Invoice'!G$25,Resume!$A$2:$F$2,0)),"")</f>
        <v/>
      </c>
      <c r="H51" s="1146"/>
      <c r="I51" s="182" t="str">
        <f>IFERROR(INDEX(Resume!$A$3:$F$170,MATCH(ROW($B24),Resume!$O$3:$O$170,0),MATCH('Commercial Invoice'!I$25,Resume!$A$2:$F$2,0)),"")</f>
        <v/>
      </c>
      <c r="J51" s="180" t="str">
        <f t="shared" si="0"/>
        <v/>
      </c>
      <c r="L51" s="13"/>
    </row>
    <row r="52" spans="1:13" ht="13.15" customHeight="1">
      <c r="A52" s="1"/>
      <c r="B52" s="1"/>
      <c r="C52" s="10" t="str">
        <f>IFERROR(INDEX(Resume!$A$3:$F$170,MATCH(ROW($B25),Resume!$O$3:$O$170,0),MATCH('Commercial Invoice'!C$25,Resume!$A$2:$F$2,0)),"")</f>
        <v/>
      </c>
      <c r="D52" s="181" t="str">
        <f>IFERROR(INDEX(Resume!$A$3:$F$170,MATCH(ROW($B25),Resume!$O$3:$O$170,0),MATCH('Commercial Invoice'!D$25,Resume!$A$2:$F$2,0)),"")</f>
        <v/>
      </c>
      <c r="E52" s="181" t="str">
        <f>IFERROR(INDEX(Resume!$A$3:$F$170,MATCH(ROW($B25),Resume!$O$3:$O$170,0),MATCH('Commercial Invoice'!E$25,Resume!$A$2:$F$2,0)),"")</f>
        <v/>
      </c>
      <c r="F52" s="181" t="str">
        <f>IFERROR(INDEX(Resume!$A$3:$F$170,MATCH(ROW($B25),Resume!$O$3:$O$170,0),MATCH('Commercial Invoice'!F$25,Resume!$A$2:$F$2,0)),"")</f>
        <v/>
      </c>
      <c r="G52" s="1145" t="str">
        <f>IFERROR(INDEX(Resume!$A$3:$F$170,MATCH(ROW($B25),Resume!$O$3:$O$170,0),MATCH('Commercial Invoice'!G$25,Resume!$A$2:$F$2,0)),"")</f>
        <v/>
      </c>
      <c r="H52" s="1146"/>
      <c r="I52" s="182" t="str">
        <f>IFERROR(INDEX(Resume!$A$3:$F$170,MATCH(ROW($B25),Resume!$O$3:$O$170,0),MATCH('Commercial Invoice'!I$25,Resume!$A$2:$F$2,0)),"")</f>
        <v/>
      </c>
      <c r="J52" s="180" t="str">
        <f t="shared" si="0"/>
        <v/>
      </c>
      <c r="L52" s="13"/>
    </row>
    <row r="53" spans="1:13" ht="13.15" customHeight="1">
      <c r="A53" s="1"/>
      <c r="B53" s="1"/>
      <c r="C53" s="10" t="str">
        <f>IFERROR(INDEX(Resume!$A$3:$F$170,MATCH(ROW($B26),Resume!$O$3:$O$170,0),MATCH('Commercial Invoice'!C$25,Resume!$A$2:$F$2,0)),"")</f>
        <v/>
      </c>
      <c r="D53" s="181" t="str">
        <f>IFERROR(INDEX(Resume!$A$3:$F$170,MATCH(ROW($B26),Resume!$O$3:$O$170,0),MATCH('Commercial Invoice'!D$25,Resume!$A$2:$F$2,0)),"")</f>
        <v/>
      </c>
      <c r="E53" s="181" t="str">
        <f>IFERROR(INDEX(Resume!$A$3:$F$170,MATCH(ROW($B26),Resume!$O$3:$O$170,0),MATCH('Commercial Invoice'!E$25,Resume!$A$2:$F$2,0)),"")</f>
        <v/>
      </c>
      <c r="F53" s="181" t="str">
        <f>IFERROR(INDEX(Resume!$A$3:$F$170,MATCH(ROW($B26),Resume!$O$3:$O$170,0),MATCH('Commercial Invoice'!F$25,Resume!$A$2:$F$2,0)),"")</f>
        <v/>
      </c>
      <c r="G53" s="1145" t="str">
        <f>IFERROR(INDEX(Resume!$A$3:$F$170,MATCH(ROW($B26),Resume!$O$3:$O$170,0),MATCH('Commercial Invoice'!G$25,Resume!$A$2:$F$2,0)),"")</f>
        <v/>
      </c>
      <c r="H53" s="1146"/>
      <c r="I53" s="182" t="str">
        <f>IFERROR(INDEX(Resume!$A$3:$F$170,MATCH(ROW($B26),Resume!$O$3:$O$170,0),MATCH('Commercial Invoice'!I$25,Resume!$A$2:$F$2,0)),"")</f>
        <v/>
      </c>
      <c r="J53" s="180" t="str">
        <f t="shared" si="0"/>
        <v/>
      </c>
    </row>
    <row r="54" spans="1:13" ht="13.15" customHeight="1">
      <c r="A54" s="1"/>
      <c r="B54" s="1"/>
      <c r="C54" s="10" t="str">
        <f>IFERROR(INDEX(Resume!$A$3:$F$170,MATCH(ROW($B27),Resume!$O$3:$O$170,0),MATCH('Commercial Invoice'!C$25,Resume!$A$2:$F$2,0)),"")</f>
        <v/>
      </c>
      <c r="D54" s="181" t="str">
        <f>IFERROR(INDEX(Resume!$A$3:$F$170,MATCH(ROW($B27),Resume!$O$3:$O$170,0),MATCH('Commercial Invoice'!D$25,Resume!$A$2:$F$2,0)),"")</f>
        <v/>
      </c>
      <c r="E54" s="181" t="str">
        <f>IFERROR(INDEX(Resume!$A$3:$F$170,MATCH(ROW($B27),Resume!$O$3:$O$170,0),MATCH('Commercial Invoice'!E$25,Resume!$A$2:$F$2,0)),"")</f>
        <v/>
      </c>
      <c r="F54" s="181" t="str">
        <f>IFERROR(INDEX(Resume!$A$3:$F$170,MATCH(ROW($B27),Resume!$O$3:$O$170,0),MATCH('Commercial Invoice'!F$25,Resume!$A$2:$F$2,0)),"")</f>
        <v/>
      </c>
      <c r="G54" s="1145" t="str">
        <f>IFERROR(INDEX(Resume!$A$3:$F$170,MATCH(ROW($B27),Resume!$O$3:$O$170,0),MATCH('Commercial Invoice'!G$25,Resume!$A$2:$F$2,0)),"")</f>
        <v/>
      </c>
      <c r="H54" s="1146"/>
      <c r="I54" s="182" t="str">
        <f>IFERROR(INDEX(Resume!$A$3:$F$170,MATCH(ROW($B27),Resume!$O$3:$O$170,0),MATCH('Commercial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>
      <c r="A55" s="1"/>
      <c r="B55" s="1"/>
      <c r="C55" s="10" t="str">
        <f>IFERROR(INDEX(Resume!$A$3:$F$170,MATCH(ROW($B28),Resume!$O$3:$O$170,0),MATCH('Commercial Invoice'!C$25,Resume!$A$2:$F$2,0)),"")</f>
        <v/>
      </c>
      <c r="D55" s="181" t="str">
        <f>IFERROR(INDEX(Resume!$A$3:$F$170,MATCH(ROW($B28),Resume!$O$3:$O$170,0),MATCH('Commercial Invoice'!D$25,Resume!$A$2:$F$2,0)),"")</f>
        <v/>
      </c>
      <c r="E55" s="181" t="str">
        <f>IFERROR(INDEX(Resume!$A$3:$F$170,MATCH(ROW($B28),Resume!$O$3:$O$170,0),MATCH('Commercial Invoice'!E$25,Resume!$A$2:$F$2,0)),"")</f>
        <v/>
      </c>
      <c r="F55" s="181" t="str">
        <f>IFERROR(INDEX(Resume!$A$3:$F$170,MATCH(ROW($B28),Resume!$O$3:$O$170,0),MATCH('Commercial Invoice'!F$25,Resume!$A$2:$F$2,0)),"")</f>
        <v/>
      </c>
      <c r="G55" s="1145" t="str">
        <f>IFERROR(INDEX(Resume!$A$3:$F$170,MATCH(ROW($B28),Resume!$O$3:$O$170,0),MATCH('Commercial Invoice'!G$25,Resume!$A$2:$F$2,0)),"")</f>
        <v/>
      </c>
      <c r="H55" s="1146"/>
      <c r="I55" s="182" t="str">
        <f>IFERROR(INDEX(Resume!$A$3:$F$170,MATCH(ROW($B28),Resume!$O$3:$O$170,0),MATCH('Commercial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IFERROR(INDEX(Resume!$A$3:$F$170,MATCH(ROW($B29),Resume!$O$3:$O$170,0),MATCH('Commercial Invoice'!C$25,Resume!$A$2:$F$2,0)),"")</f>
        <v/>
      </c>
      <c r="D56" s="181" t="str">
        <f>IFERROR(INDEX(Resume!$A$3:$F$170,MATCH(ROW($B29),Resume!$O$3:$O$170,0),MATCH('Commercial Invoice'!D$25,Resume!$A$2:$F$2,0)),"")</f>
        <v/>
      </c>
      <c r="E56" s="181" t="str">
        <f>IFERROR(INDEX(Resume!$A$3:$F$170,MATCH(ROW($B29),Resume!$O$3:$O$170,0),MATCH('Commercial Invoice'!E$25,Resume!$A$2:$F$2,0)),"")</f>
        <v/>
      </c>
      <c r="F56" s="181" t="str">
        <f>IFERROR(INDEX(Resume!$A$3:$F$170,MATCH(ROW($B29),Resume!$O$3:$O$170,0),MATCH('Commercial Invoice'!F$25,Resume!$A$2:$F$2,0)),"")</f>
        <v/>
      </c>
      <c r="G56" s="1145" t="str">
        <f>IFERROR(INDEX(Resume!$A$3:$F$170,MATCH(ROW($B29),Resume!$O$3:$O$170,0),MATCH('Commercial Invoice'!G$25,Resume!$A$2:$F$2,0)),"")</f>
        <v/>
      </c>
      <c r="H56" s="1146"/>
      <c r="I56" s="182" t="str">
        <f>IFERROR(INDEX(Resume!$A$3:$F$170,MATCH(ROW($B29),Resume!$O$3:$O$170,0),MATCH('Commercial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IFERROR(INDEX(Resume!$A$3:$F$170,MATCH(ROW($B29),Resume!$O$3:$O$170,0),MATCH('Commercial Invoice'!C$25,Resume!$A$2:$F$2,0)),"")</f>
        <v/>
      </c>
      <c r="D57" s="181" t="str">
        <f>IFERROR(INDEX(Resume!$A$3:$F$170,MATCH(ROW($B29),Resume!$O$3:$O$170,0),MATCH('Commercial Invoice'!D$25,Resume!$A$2:$F$2,0)),"")</f>
        <v/>
      </c>
      <c r="E57" s="181" t="str">
        <f>IFERROR(INDEX(Resume!$A$3:$F$170,MATCH(ROW($B29),Resume!$O$3:$O$170,0),MATCH('Commercial Invoice'!E$25,Resume!$A$2:$F$2,0)),"")</f>
        <v/>
      </c>
      <c r="F57" s="181" t="str">
        <f>IFERROR(INDEX(Resume!$A$3:$F$170,MATCH(ROW($B29),Resume!$O$3:$O$170,0),MATCH('Commercial Invoice'!F$25,Resume!$A$2:$F$2,0)),"")</f>
        <v/>
      </c>
      <c r="G57" s="1145" t="str">
        <f>IFERROR(INDEX(Resume!$A$3:$F$170,MATCH(ROW($B29),Resume!$O$3:$O$170,0),MATCH('Commercial Invoice'!G$25,Resume!$A$2:$F$2,0)),"")</f>
        <v/>
      </c>
      <c r="H57" s="1146"/>
      <c r="I57" s="182" t="str">
        <f>IFERROR(INDEX(Resume!$A$3:$F$170,MATCH(ROW($B29),Resume!$O$3:$O$170,0),MATCH('Commercial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IFERROR(INDEX(Resume!$A$3:$F$170,MATCH(ROW($B30),Resume!$O$3:$O$170,0),MATCH('Commercial Invoice'!C$25,Resume!$A$2:$F$2,0)),"")</f>
        <v/>
      </c>
      <c r="D58" s="181" t="str">
        <f>IFERROR(INDEX(Resume!$A$3:$F$170,MATCH(ROW($B30),Resume!$O$3:$O$170,0),MATCH('Commercial Invoice'!D$25,Resume!$A$2:$F$2,0)),"")</f>
        <v/>
      </c>
      <c r="E58" s="181" t="str">
        <f>IFERROR(INDEX(Resume!$A$3:$F$170,MATCH(ROW($B30),Resume!$O$3:$O$170,0),MATCH('Commercial Invoice'!E$25,Resume!$A$2:$F$2,0)),"")</f>
        <v/>
      </c>
      <c r="F58" s="181" t="str">
        <f>IFERROR(INDEX(Resume!$A$3:$F$170,MATCH(ROW($B30),Resume!$O$3:$O$170,0),MATCH('Commercial Invoice'!F$25,Resume!$A$2:$F$2,0)),"")</f>
        <v/>
      </c>
      <c r="G58" s="1145" t="str">
        <f>IFERROR(INDEX(Resume!$A$3:$F$170,MATCH(ROW($B30),Resume!$O$3:$O$170,0),MATCH('Commercial Invoice'!G$25,Resume!$A$2:$F$2,0)),"")</f>
        <v/>
      </c>
      <c r="H58" s="1146"/>
      <c r="I58" s="182" t="str">
        <f>IFERROR(INDEX(Resume!$A$3:$F$170,MATCH(ROW($B30),Resume!$O$3:$O$170,0),MATCH('Commercial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IFERROR(INDEX(Resume!$A$3:$F$170,MATCH(ROW($B29),Resume!$O$3:$O$170,0),MATCH('Commercial Invoice'!C$25,Resume!$A$2:$F$2,0)),"")</f>
        <v/>
      </c>
      <c r="D59" s="181" t="str">
        <f>IFERROR(INDEX(Resume!$A$3:$F$170,MATCH(ROW($B29),Resume!$O$3:$O$170,0),MATCH('Commercial Invoice'!D$25,Resume!$A$2:$F$2,0)),"")</f>
        <v/>
      </c>
      <c r="E59" s="181" t="str">
        <f>IFERROR(INDEX(Resume!$A$3:$F$170,MATCH(ROW($B29),Resume!$O$3:$O$170,0),MATCH('Commercial Invoice'!E$25,Resume!$A$2:$F$2,0)),"")</f>
        <v/>
      </c>
      <c r="F59" s="181" t="str">
        <f>IFERROR(INDEX(Resume!$A$3:$F$170,MATCH(ROW($B29),Resume!$O$3:$O$170,0),MATCH('Commercial Invoice'!F$25,Resume!$A$2:$F$2,0)),"")</f>
        <v/>
      </c>
      <c r="G59" s="1145" t="str">
        <f>IFERROR(INDEX(Resume!$A$3:$F$170,MATCH(ROW($B29),Resume!$O$3:$O$170,0),MATCH('Commercial Invoice'!G$25,Resume!$A$2:$F$2,0)),"")</f>
        <v/>
      </c>
      <c r="H59" s="1146"/>
      <c r="I59" s="182" t="str">
        <f>IFERROR(INDEX(Resume!$A$3:$F$170,MATCH(ROW($B29),Resume!$O$3:$O$170,0),MATCH('Commercial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IFERROR(INDEX(Resume!$A$3:$F$170,MATCH(ROW($B30),Resume!$O$3:$O$170,0),MATCH('Commercial Invoice'!C$25,Resume!$A$2:$F$2,0)),"")</f>
        <v/>
      </c>
      <c r="D60" s="181" t="str">
        <f>IFERROR(INDEX(Resume!$A$3:$F$170,MATCH(ROW($B30),Resume!$O$3:$O$170,0),MATCH('Commercial Invoice'!D$25,Resume!$A$2:$F$2,0)),"")</f>
        <v/>
      </c>
      <c r="E60" s="181" t="str">
        <f>IFERROR(INDEX(Resume!$A$3:$F$170,MATCH(ROW($B30),Resume!$O$3:$O$170,0),MATCH('Commercial Invoice'!E$25,Resume!$A$2:$F$2,0)),"")</f>
        <v/>
      </c>
      <c r="F60" s="181" t="str">
        <f>IFERROR(INDEX(Resume!$A$3:$F$170,MATCH(ROW($B30),Resume!$O$3:$O$170,0),MATCH('Commercial Invoice'!F$25,Resume!$A$2:$F$2,0)),"")</f>
        <v/>
      </c>
      <c r="G60" s="1145" t="str">
        <f>IFERROR(INDEX(Resume!$A$3:$F$170,MATCH(ROW($B30),Resume!$O$3:$O$170,0),MATCH('Commercial Invoice'!G$25,Resume!$A$2:$F$2,0)),"")</f>
        <v/>
      </c>
      <c r="H60" s="1146"/>
      <c r="I60" s="182" t="str">
        <f>IFERROR(INDEX(Resume!$A$3:$F$170,MATCH(ROW($B30),Resume!$O$3:$O$170,0),MATCH('Commercial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40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106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69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140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141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142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143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144</v>
      </c>
      <c r="D70" s="38"/>
      <c r="E70" s="38"/>
      <c r="F70" s="38" t="s">
        <v>145</v>
      </c>
      <c r="G70" s="38"/>
      <c r="H70" s="39" t="s">
        <v>146</v>
      </c>
      <c r="I70" s="40">
        <f>I9</f>
        <v>0</v>
      </c>
      <c r="J70" s="41"/>
    </row>
    <row r="71" spans="3:10" ht="12" thickBot="1">
      <c r="C71" s="42" t="s">
        <v>147</v>
      </c>
      <c r="D71" s="43"/>
      <c r="E71" s="43"/>
      <c r="F71" s="44"/>
      <c r="G71" s="45" t="s">
        <v>148</v>
      </c>
      <c r="H71" s="46" t="s">
        <v>149</v>
      </c>
      <c r="I71" s="47"/>
      <c r="J71" s="47"/>
    </row>
    <row r="72" spans="3:10">
      <c r="C72" s="48" t="s">
        <v>150</v>
      </c>
      <c r="D72" s="49"/>
      <c r="E72" s="49"/>
      <c r="F72" s="50"/>
      <c r="G72" s="1147"/>
      <c r="H72" s="1149" t="s">
        <v>46</v>
      </c>
      <c r="I72" s="1150"/>
      <c r="J72" s="1151"/>
    </row>
    <row r="73" spans="3:10" ht="12" thickBot="1">
      <c r="C73" s="51" t="s">
        <v>151</v>
      </c>
      <c r="D73" s="52"/>
      <c r="E73" s="53"/>
      <c r="F73" s="54"/>
      <c r="G73" s="1148"/>
      <c r="H73" s="1152"/>
      <c r="I73" s="1153"/>
      <c r="J73" s="115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 t="s">
        <v>660</v>
      </c>
      <c r="F77" s="18" t="s">
        <v>152</v>
      </c>
      <c r="G77" s="18"/>
    </row>
    <row r="78" spans="3:10" hidden="1">
      <c r="D78" s="18"/>
      <c r="E78" s="56" t="s">
        <v>124</v>
      </c>
      <c r="F78" s="18" t="s">
        <v>161</v>
      </c>
      <c r="G78" s="18"/>
      <c r="H78" s="6"/>
    </row>
    <row r="79" spans="3:10" hidden="1">
      <c r="D79" s="18"/>
      <c r="E79" s="56" t="s">
        <v>153</v>
      </c>
      <c r="F79" s="18" t="s">
        <v>161</v>
      </c>
      <c r="G79" s="18"/>
      <c r="H79" s="6" t="s">
        <v>45</v>
      </c>
    </row>
    <row r="80" spans="3:10" hidden="1">
      <c r="D80" s="18"/>
      <c r="E80" s="5" t="s">
        <v>172</v>
      </c>
      <c r="F80" s="18" t="s">
        <v>161</v>
      </c>
      <c r="G80" s="18"/>
      <c r="H80" s="6" t="s">
        <v>47</v>
      </c>
    </row>
    <row r="81" spans="4:8" hidden="1">
      <c r="D81" s="18"/>
      <c r="E81" s="56">
        <f>'Order form'!H462</f>
        <v>0</v>
      </c>
      <c r="F81" s="18" t="s">
        <v>152</v>
      </c>
      <c r="G81" s="18"/>
      <c r="H81" s="6" t="s">
        <v>48</v>
      </c>
    </row>
    <row r="82" spans="4:8" hidden="1">
      <c r="D82" s="18"/>
      <c r="E82" s="56"/>
      <c r="F82" s="18"/>
      <c r="G82" s="18"/>
      <c r="H82" s="6" t="s">
        <v>52</v>
      </c>
    </row>
    <row r="83" spans="4:8" hidden="1">
      <c r="D83" s="18"/>
      <c r="E83" s="56"/>
      <c r="F83" s="56"/>
      <c r="G83" s="56"/>
      <c r="H83" s="7" t="s">
        <v>54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55</v>
      </c>
    </row>
    <row r="92" spans="4:8" hidden="1">
      <c r="E92" s="57"/>
      <c r="F92" s="14"/>
      <c r="G92" s="14"/>
      <c r="H92" s="14"/>
    </row>
    <row r="93" spans="4:8" hidden="1">
      <c r="E93" s="14" t="s">
        <v>666</v>
      </c>
      <c r="F93" s="14" t="s">
        <v>56</v>
      </c>
      <c r="G93" s="14" t="s">
        <v>154</v>
      </c>
      <c r="H93" s="14" t="s">
        <v>155</v>
      </c>
    </row>
    <row r="94" spans="4:8" hidden="1">
      <c r="E94" s="14" t="s">
        <v>667</v>
      </c>
      <c r="F94" s="14" t="s">
        <v>661</v>
      </c>
      <c r="G94" s="58" t="s">
        <v>662</v>
      </c>
      <c r="H94" s="58" t="s">
        <v>668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109</v>
      </c>
    </row>
    <row r="99" spans="5:28" hidden="1"/>
    <row r="100" spans="5:28" hidden="1">
      <c r="E100" s="5" t="s">
        <v>125</v>
      </c>
      <c r="F100" s="5" t="s">
        <v>57</v>
      </c>
      <c r="G100" s="5" t="s">
        <v>58</v>
      </c>
      <c r="H100" s="21" t="s">
        <v>59</v>
      </c>
      <c r="I100" s="21" t="s">
        <v>60</v>
      </c>
      <c r="J100" s="21" t="s">
        <v>14</v>
      </c>
      <c r="K100" s="21" t="s">
        <v>61</v>
      </c>
      <c r="L100" s="21" t="s">
        <v>62</v>
      </c>
      <c r="M100" s="21" t="s">
        <v>63</v>
      </c>
      <c r="N100" s="21" t="s">
        <v>171</v>
      </c>
      <c r="O100" s="21" t="s">
        <v>64</v>
      </c>
      <c r="P100" s="21" t="s">
        <v>65</v>
      </c>
      <c r="Q100" s="21" t="s">
        <v>66</v>
      </c>
      <c r="R100" s="21" t="s">
        <v>67</v>
      </c>
      <c r="S100" s="21" t="s">
        <v>68</v>
      </c>
      <c r="T100" s="21" t="s">
        <v>171</v>
      </c>
      <c r="U100" s="21" t="s">
        <v>17</v>
      </c>
      <c r="V100" s="21" t="s">
        <v>70</v>
      </c>
      <c r="W100" s="21" t="s">
        <v>117</v>
      </c>
      <c r="X100" s="5" t="s">
        <v>71</v>
      </c>
      <c r="Y100" s="5" t="s">
        <v>72</v>
      </c>
      <c r="Z100" s="24" t="s">
        <v>73</v>
      </c>
      <c r="AA100" s="5" t="s">
        <v>156</v>
      </c>
      <c r="AB100" s="5" t="s">
        <v>157</v>
      </c>
    </row>
    <row r="101" spans="5:28" hidden="1">
      <c r="E101" s="5" t="s">
        <v>158</v>
      </c>
      <c r="F101" s="5" t="s">
        <v>75</v>
      </c>
      <c r="G101" s="5" t="s">
        <v>76</v>
      </c>
      <c r="H101" s="21" t="s">
        <v>77</v>
      </c>
      <c r="I101" s="21" t="s">
        <v>78</v>
      </c>
      <c r="J101" s="21" t="s">
        <v>79</v>
      </c>
      <c r="K101" s="21" t="s">
        <v>61</v>
      </c>
      <c r="L101" s="21" t="s">
        <v>80</v>
      </c>
      <c r="M101" s="21" t="s">
        <v>81</v>
      </c>
      <c r="N101" s="21" t="s">
        <v>159</v>
      </c>
      <c r="O101" s="21" t="s">
        <v>83</v>
      </c>
      <c r="P101" s="21" t="s">
        <v>84</v>
      </c>
      <c r="Q101" s="21" t="s">
        <v>85</v>
      </c>
      <c r="R101" s="21" t="s">
        <v>67</v>
      </c>
      <c r="S101" s="21" t="s">
        <v>86</v>
      </c>
      <c r="T101" s="21" t="s">
        <v>160</v>
      </c>
      <c r="U101" s="21" t="s">
        <v>87</v>
      </c>
      <c r="V101" s="21" t="s">
        <v>70</v>
      </c>
      <c r="W101" s="21" t="s">
        <v>118</v>
      </c>
      <c r="X101" s="21" t="s">
        <v>88</v>
      </c>
      <c r="Y101" s="5" t="s">
        <v>89</v>
      </c>
      <c r="Z101" s="5" t="s">
        <v>90</v>
      </c>
      <c r="AA101" s="5" t="s">
        <v>156</v>
      </c>
      <c r="AB101" s="5" t="s">
        <v>157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91</v>
      </c>
    </row>
    <row r="106" spans="5:28" hidden="1"/>
    <row r="107" spans="5:28" hidden="1">
      <c r="E107" s="5" t="s">
        <v>92</v>
      </c>
    </row>
    <row r="108" spans="5:28" hidden="1">
      <c r="E108" s="5" t="s">
        <v>93</v>
      </c>
    </row>
    <row r="109" spans="5:28" hidden="1">
      <c r="E109" s="5" t="s">
        <v>108</v>
      </c>
    </row>
    <row r="110" spans="5:28" hidden="1">
      <c r="E110" s="5" t="s">
        <v>94</v>
      </c>
    </row>
    <row r="111" spans="5:28" hidden="1">
      <c r="E111" s="5" t="s">
        <v>95</v>
      </c>
    </row>
    <row r="112" spans="5:28" hidden="1">
      <c r="E112" s="5" t="s">
        <v>96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65</v>
      </c>
    </row>
    <row r="120" spans="5:6" hidden="1"/>
    <row r="121" spans="5:6" hidden="1">
      <c r="E121" s="5" t="s">
        <v>97</v>
      </c>
    </row>
    <row r="122" spans="5:6" hidden="1">
      <c r="E122" s="5" t="s">
        <v>98</v>
      </c>
    </row>
    <row r="123" spans="5:6" hidden="1">
      <c r="E123" s="5" t="s">
        <v>99</v>
      </c>
    </row>
    <row r="124" spans="5:6" hidden="1"/>
    <row r="125" spans="5:6" hidden="1"/>
    <row r="126" spans="5:6" hidden="1">
      <c r="E126" s="13" t="s">
        <v>70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100</v>
      </c>
      <c r="F130" s="60">
        <v>0.05</v>
      </c>
    </row>
    <row r="131" spans="5:6" hidden="1">
      <c r="E131" s="25" t="s">
        <v>101</v>
      </c>
      <c r="F131" s="60">
        <v>0.05</v>
      </c>
    </row>
    <row r="132" spans="5:6" hidden="1">
      <c r="E132" s="25" t="s">
        <v>102</v>
      </c>
      <c r="F132" s="60">
        <v>0.13</v>
      </c>
    </row>
    <row r="133" spans="5:6" hidden="1">
      <c r="E133" s="25" t="s">
        <v>103</v>
      </c>
      <c r="F133" s="60">
        <v>0.05</v>
      </c>
    </row>
    <row r="134" spans="5:6" hidden="1">
      <c r="E134" s="25" t="s">
        <v>104</v>
      </c>
      <c r="F134" s="60">
        <v>0.14974999999999999</v>
      </c>
    </row>
    <row r="135" spans="5:6" hidden="1">
      <c r="E135" s="25" t="s">
        <v>105</v>
      </c>
      <c r="F135" s="60">
        <v>0.05</v>
      </c>
    </row>
    <row r="136" spans="5:6" hidden="1">
      <c r="E136" s="5" t="s">
        <v>106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N78"/>
  <sheetViews>
    <sheetView topLeftCell="A16" workbookViewId="0">
      <selection activeCell="B11" sqref="B11"/>
    </sheetView>
  </sheetViews>
  <sheetFormatPr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198" t="s">
        <v>413</v>
      </c>
      <c r="B1" s="1198"/>
      <c r="C1" s="1198"/>
      <c r="D1" s="1198"/>
      <c r="E1" s="1198"/>
      <c r="F1" s="1198"/>
      <c r="G1" s="1198"/>
      <c r="H1" s="1198"/>
      <c r="I1" s="1198"/>
      <c r="J1" s="1198"/>
      <c r="K1" s="1198"/>
      <c r="L1" s="1198"/>
      <c r="M1" s="1198"/>
      <c r="N1" s="1199"/>
    </row>
    <row r="2" spans="1:14">
      <c r="A2" s="1198" t="s">
        <v>412</v>
      </c>
      <c r="B2" s="1198"/>
      <c r="C2" s="1200"/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1"/>
    </row>
    <row r="4" spans="1:14">
      <c r="A4" s="1206" t="s">
        <v>389</v>
      </c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  <c r="M4" s="1206"/>
      <c r="N4" s="1206"/>
    </row>
    <row r="5" spans="1:14">
      <c r="A5" s="1206" t="s">
        <v>390</v>
      </c>
      <c r="B5" s="1206"/>
      <c r="C5" s="1206"/>
      <c r="D5" s="1206"/>
      <c r="E5" s="1206"/>
      <c r="F5" s="1206"/>
      <c r="G5" s="1206"/>
      <c r="H5" s="1206"/>
      <c r="I5" s="1206"/>
      <c r="J5" s="1206"/>
      <c r="K5" s="1206"/>
      <c r="L5" s="1206"/>
      <c r="M5" s="1206"/>
      <c r="N5" s="1206"/>
    </row>
    <row r="6" spans="1:14">
      <c r="A6" s="1207" t="s">
        <v>388</v>
      </c>
      <c r="B6" s="1207"/>
      <c r="C6" s="1207"/>
      <c r="D6" s="1207"/>
      <c r="E6" s="1207"/>
      <c r="F6" s="1207"/>
      <c r="G6" s="1207"/>
      <c r="H6" s="1207"/>
      <c r="I6" s="1207"/>
      <c r="J6" s="1207"/>
      <c r="K6" s="1207"/>
      <c r="L6" s="1207"/>
      <c r="M6" s="1207"/>
      <c r="N6" s="1207"/>
    </row>
    <row r="7" spans="1:14">
      <c r="A7" s="126" t="s">
        <v>375</v>
      </c>
      <c r="B7" s="126"/>
      <c r="C7" s="126"/>
      <c r="D7" s="126"/>
      <c r="E7" s="126"/>
      <c r="F7" s="158"/>
      <c r="G7" s="127" t="s">
        <v>373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376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419</v>
      </c>
      <c r="I10" s="165">
        <v>2015</v>
      </c>
      <c r="J10" s="164"/>
    </row>
    <row r="11" spans="1:14">
      <c r="B11" s="166"/>
      <c r="E11" s="145"/>
      <c r="F11" s="160"/>
      <c r="G11" s="128" t="s">
        <v>377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371</v>
      </c>
      <c r="E12" s="145"/>
      <c r="F12" s="130"/>
      <c r="G12" s="145"/>
      <c r="H12" s="168" t="s">
        <v>420</v>
      </c>
      <c r="I12" s="165">
        <v>2015</v>
      </c>
      <c r="J12" s="164"/>
    </row>
    <row r="13" spans="1:14">
      <c r="A13" s="126" t="s">
        <v>374</v>
      </c>
      <c r="B13" s="126"/>
      <c r="C13" s="126"/>
      <c r="D13" s="126"/>
      <c r="E13" s="126"/>
      <c r="F13" s="129"/>
      <c r="G13" s="127" t="s">
        <v>372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421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371</v>
      </c>
      <c r="B18" s="131"/>
      <c r="C18" s="131"/>
      <c r="D18" s="131"/>
      <c r="E18" s="131"/>
      <c r="F18" s="159"/>
      <c r="G18" s="133" t="s">
        <v>371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02"/>
      <c r="B19" s="1202"/>
      <c r="C19" s="1202"/>
      <c r="D19" s="1202"/>
      <c r="E19" s="1202"/>
      <c r="F19" s="1202"/>
      <c r="G19" s="134"/>
      <c r="H19" s="1192" t="s">
        <v>407</v>
      </c>
      <c r="I19" s="1193"/>
      <c r="J19" s="1192" t="s">
        <v>408</v>
      </c>
      <c r="K19" s="1193"/>
      <c r="L19" s="1203" t="s">
        <v>409</v>
      </c>
      <c r="M19" s="1203" t="s">
        <v>410</v>
      </c>
      <c r="N19" s="1192" t="s">
        <v>411</v>
      </c>
    </row>
    <row r="20" spans="1:14">
      <c r="A20" s="1189" t="s">
        <v>392</v>
      </c>
      <c r="B20" s="1189"/>
      <c r="C20" s="1190"/>
      <c r="D20" s="1190"/>
      <c r="E20" s="1190"/>
      <c r="F20" s="1190"/>
      <c r="G20" s="136"/>
      <c r="H20" s="1194"/>
      <c r="I20" s="1195"/>
      <c r="J20" s="1194"/>
      <c r="K20" s="1195"/>
      <c r="L20" s="1204"/>
      <c r="M20" s="1204"/>
      <c r="N20" s="1194"/>
    </row>
    <row r="21" spans="1:14">
      <c r="A21" s="1189" t="s">
        <v>391</v>
      </c>
      <c r="B21" s="1189"/>
      <c r="C21" s="1190"/>
      <c r="D21" s="1190"/>
      <c r="E21" s="1190"/>
      <c r="F21" s="1190"/>
      <c r="G21" s="136"/>
      <c r="H21" s="1194"/>
      <c r="I21" s="1195"/>
      <c r="J21" s="1194"/>
      <c r="K21" s="1195"/>
      <c r="L21" s="1204"/>
      <c r="M21" s="1204"/>
      <c r="N21" s="1194"/>
    </row>
    <row r="22" spans="1:14">
      <c r="A22" s="1191"/>
      <c r="B22" s="1191"/>
      <c r="C22" s="1191"/>
      <c r="D22" s="1191"/>
      <c r="E22" s="1191"/>
      <c r="F22" s="1191"/>
      <c r="G22" s="135"/>
      <c r="H22" s="1196"/>
      <c r="I22" s="1197"/>
      <c r="J22" s="1196"/>
      <c r="K22" s="1197"/>
      <c r="L22" s="1205"/>
      <c r="M22" s="1205"/>
      <c r="N22" s="1196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422</v>
      </c>
      <c r="K24" s="130"/>
      <c r="L24" s="149" t="s">
        <v>423</v>
      </c>
      <c r="M24" s="149" t="s">
        <v>424</v>
      </c>
      <c r="N24" s="170" t="s">
        <v>425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393</v>
      </c>
    </row>
    <row r="46" spans="1:14">
      <c r="A46" t="s">
        <v>394</v>
      </c>
    </row>
    <row r="47" spans="1:14">
      <c r="A47" t="s">
        <v>395</v>
      </c>
    </row>
    <row r="48" spans="1:14">
      <c r="A48" t="s">
        <v>396</v>
      </c>
    </row>
    <row r="49" spans="1:14">
      <c r="A49" t="s">
        <v>397</v>
      </c>
    </row>
    <row r="50" spans="1:14">
      <c r="A50" t="s">
        <v>398</v>
      </c>
    </row>
    <row r="51" spans="1:14">
      <c r="A51" t="s">
        <v>399</v>
      </c>
    </row>
    <row r="52" spans="1:14">
      <c r="A52" t="s">
        <v>400</v>
      </c>
    </row>
    <row r="53" spans="1:14">
      <c r="A53" t="s">
        <v>401</v>
      </c>
    </row>
    <row r="54" spans="1:14">
      <c r="A54" t="s">
        <v>402</v>
      </c>
    </row>
    <row r="55" spans="1:14">
      <c r="A55" t="s">
        <v>403</v>
      </c>
    </row>
    <row r="56" spans="1:14">
      <c r="A56" t="s">
        <v>386</v>
      </c>
      <c r="D56" s="162">
        <v>1</v>
      </c>
      <c r="E56" t="s">
        <v>385</v>
      </c>
    </row>
    <row r="57" spans="1:14" ht="4.9000000000000004" customHeight="1">
      <c r="D57" s="126"/>
    </row>
    <row r="58" spans="1:14">
      <c r="A58" s="129"/>
      <c r="B58" s="143" t="s">
        <v>380</v>
      </c>
      <c r="C58" s="126"/>
      <c r="D58" s="126"/>
      <c r="E58" s="126"/>
      <c r="F58" s="129"/>
      <c r="G58" s="127" t="s">
        <v>379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416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381</v>
      </c>
      <c r="C60" s="145"/>
      <c r="D60" s="145"/>
      <c r="E60" s="145"/>
      <c r="F60" s="130"/>
      <c r="G60" s="138" t="s">
        <v>378</v>
      </c>
      <c r="H60" s="138"/>
    </row>
    <row r="61" spans="1:14">
      <c r="A61" s="140" t="s">
        <v>370</v>
      </c>
      <c r="B61" s="163" t="s">
        <v>417</v>
      </c>
      <c r="C61" s="131"/>
      <c r="D61" s="131"/>
      <c r="E61" s="131"/>
      <c r="F61" s="132"/>
      <c r="G61" s="161" t="s">
        <v>418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387</v>
      </c>
      <c r="C62" s="145"/>
      <c r="D62" s="145"/>
      <c r="E62" s="150" t="s">
        <v>406</v>
      </c>
      <c r="F62" s="139"/>
      <c r="G62" s="157" t="s">
        <v>382</v>
      </c>
      <c r="H62" s="157"/>
      <c r="K62" s="129"/>
      <c r="L62" s="157" t="s">
        <v>383</v>
      </c>
    </row>
    <row r="63" spans="1:14" ht="12.6" customHeight="1">
      <c r="A63" s="130"/>
      <c r="B63" s="175"/>
      <c r="C63" s="145"/>
      <c r="D63" s="145"/>
      <c r="E63" s="151" t="s">
        <v>404</v>
      </c>
      <c r="F63" s="1187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405</v>
      </c>
      <c r="F64" s="1188"/>
      <c r="G64" s="161" t="s">
        <v>414</v>
      </c>
      <c r="H64" s="131"/>
      <c r="I64" s="131"/>
      <c r="J64" s="131"/>
      <c r="K64" s="132"/>
      <c r="L64" s="161" t="s">
        <v>415</v>
      </c>
      <c r="M64" s="131"/>
      <c r="N64" s="131"/>
    </row>
    <row r="65" spans="1:14">
      <c r="N65" s="153" t="s">
        <v>384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Invoice'!Print_Area</vt:lpstr>
      <vt:lpstr>'Order form'!Print_Area</vt:lpstr>
      <vt:lpstr>Resume!Print_Area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Karl-Philip</cp:lastModifiedBy>
  <cp:lastPrinted>2017-03-22T18:15:33Z</cp:lastPrinted>
  <dcterms:created xsi:type="dcterms:W3CDTF">2009-08-12T21:40:25Z</dcterms:created>
  <dcterms:modified xsi:type="dcterms:W3CDTF">2017-04-27T15:12:10Z</dcterms:modified>
</cp:coreProperties>
</file>