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English\"/>
    </mc:Choice>
  </mc:AlternateContent>
  <bookViews>
    <workbookView xWindow="0" yWindow="0" windowWidth="27408" windowHeight="12888" activeTab="1"/>
  </bookViews>
  <sheets>
    <sheet name="Order form" sheetId="2" r:id="rId1"/>
    <sheet name="Quotation" sheetId="4" r:id="rId2"/>
    <sheet name="Resume" sheetId="3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form'!$A$1:$AB$555</definedName>
    <definedName name="_xlnm.Print_Area" localSheetId="2">Resume!$A$4:$D$186</definedName>
  </definedNames>
  <calcPr calcId="162913" concurrentCalc="0"/>
</workbook>
</file>

<file path=xl/calcChain.xml><?xml version="1.0" encoding="utf-8"?>
<calcChain xmlns="http://schemas.openxmlformats.org/spreadsheetml/2006/main">
  <c r="C6" i="3" l="1"/>
  <c r="I6" i="3"/>
  <c r="C23" i="3"/>
  <c r="I23" i="3"/>
  <c r="C24" i="3"/>
  <c r="I24" i="3"/>
  <c r="C25" i="3"/>
  <c r="I25" i="3"/>
  <c r="C26" i="3"/>
  <c r="I26" i="3"/>
  <c r="C27" i="3"/>
  <c r="I27" i="3"/>
  <c r="C28" i="3"/>
  <c r="I28" i="3"/>
  <c r="C30" i="3"/>
  <c r="I30" i="3"/>
  <c r="C101" i="3"/>
  <c r="I101" i="3"/>
  <c r="C106" i="3"/>
  <c r="I106" i="3"/>
  <c r="C111" i="3"/>
  <c r="I111" i="3"/>
  <c r="C146" i="3"/>
  <c r="I146" i="3"/>
  <c r="C147" i="3"/>
  <c r="I147" i="3"/>
  <c r="C158" i="3"/>
  <c r="I158" i="3"/>
  <c r="C159" i="3"/>
  <c r="I159" i="3"/>
  <c r="C163" i="3"/>
  <c r="I163" i="3"/>
  <c r="C164" i="3"/>
  <c r="I164" i="3"/>
  <c r="C165" i="3"/>
  <c r="I165" i="3"/>
  <c r="C173" i="3"/>
  <c r="I173" i="3"/>
  <c r="I215" i="3"/>
  <c r="D60" i="4"/>
  <c r="F205" i="3"/>
  <c r="F11" i="3"/>
  <c r="I151" i="2"/>
  <c r="K176" i="3"/>
  <c r="M176" i="3"/>
  <c r="K175" i="3"/>
  <c r="M175" i="3"/>
  <c r="K174" i="3"/>
  <c r="M174" i="3"/>
  <c r="K173" i="3"/>
  <c r="M173" i="3"/>
  <c r="X140" i="2"/>
  <c r="K30" i="3"/>
  <c r="L30" i="3"/>
  <c r="K110" i="3"/>
  <c r="C110" i="3"/>
  <c r="L110" i="3"/>
  <c r="K125" i="3"/>
  <c r="C125" i="3"/>
  <c r="L125" i="3"/>
  <c r="K124" i="3"/>
  <c r="C124" i="3"/>
  <c r="L124" i="3"/>
  <c r="K128" i="3"/>
  <c r="C128" i="3"/>
  <c r="L128" i="3"/>
  <c r="K171" i="3"/>
  <c r="C171" i="3"/>
  <c r="L171" i="3"/>
  <c r="K172" i="3"/>
  <c r="C172" i="3"/>
  <c r="L172" i="3"/>
  <c r="C14" i="3"/>
  <c r="K14" i="3"/>
  <c r="L14" i="3"/>
  <c r="C15" i="3"/>
  <c r="K15" i="3"/>
  <c r="L15" i="3"/>
  <c r="C16" i="3"/>
  <c r="K16" i="3"/>
  <c r="L16" i="3"/>
  <c r="C17" i="3"/>
  <c r="K17" i="3"/>
  <c r="L17" i="3"/>
  <c r="C18" i="3"/>
  <c r="K18" i="3"/>
  <c r="L18" i="3"/>
  <c r="C19" i="3"/>
  <c r="K19" i="3"/>
  <c r="L19" i="3"/>
  <c r="C20" i="3"/>
  <c r="K20" i="3"/>
  <c r="L20" i="3"/>
  <c r="K23" i="3"/>
  <c r="L23" i="3"/>
  <c r="K24" i="3"/>
  <c r="L24" i="3"/>
  <c r="K25" i="3"/>
  <c r="L25" i="3"/>
  <c r="K26" i="3"/>
  <c r="L26" i="3"/>
  <c r="K27" i="3"/>
  <c r="L27" i="3"/>
  <c r="K28" i="3"/>
  <c r="L28" i="3"/>
  <c r="C29" i="3"/>
  <c r="K29" i="3"/>
  <c r="L29" i="3"/>
  <c r="C31" i="3"/>
  <c r="K31" i="3"/>
  <c r="L31" i="3"/>
  <c r="C32" i="3"/>
  <c r="K32" i="3"/>
  <c r="L32" i="3"/>
  <c r="C33" i="3"/>
  <c r="K33" i="3"/>
  <c r="L33" i="3"/>
  <c r="C34" i="3"/>
  <c r="K34" i="3"/>
  <c r="L34" i="3"/>
  <c r="C35" i="3"/>
  <c r="K35" i="3"/>
  <c r="L35" i="3"/>
  <c r="C36" i="3"/>
  <c r="K36" i="3"/>
  <c r="L36" i="3"/>
  <c r="C37" i="3"/>
  <c r="K37" i="3"/>
  <c r="L37" i="3"/>
  <c r="C38" i="3"/>
  <c r="K38" i="3"/>
  <c r="L38" i="3"/>
  <c r="C39" i="3"/>
  <c r="K39" i="3"/>
  <c r="L39" i="3"/>
  <c r="C40" i="3"/>
  <c r="K40" i="3"/>
  <c r="L40" i="3"/>
  <c r="C41" i="3"/>
  <c r="K41" i="3"/>
  <c r="L41" i="3"/>
  <c r="C42" i="3"/>
  <c r="K42" i="3"/>
  <c r="L42" i="3"/>
  <c r="C43" i="3"/>
  <c r="K43" i="3"/>
  <c r="L43" i="3"/>
  <c r="C44" i="3"/>
  <c r="K44" i="3"/>
  <c r="L44" i="3"/>
  <c r="C63" i="3"/>
  <c r="K63" i="3"/>
  <c r="L63" i="3"/>
  <c r="C64" i="3"/>
  <c r="K64" i="3"/>
  <c r="L64" i="3"/>
  <c r="C65" i="3"/>
  <c r="K65" i="3"/>
  <c r="L65" i="3"/>
  <c r="C66" i="3"/>
  <c r="K66" i="3"/>
  <c r="L66" i="3"/>
  <c r="C67" i="3"/>
  <c r="K67" i="3"/>
  <c r="L67" i="3"/>
  <c r="C68" i="3"/>
  <c r="K68" i="3"/>
  <c r="L68" i="3"/>
  <c r="C69" i="3"/>
  <c r="K69" i="3"/>
  <c r="L69" i="3"/>
  <c r="C70" i="3"/>
  <c r="K70" i="3"/>
  <c r="L70" i="3"/>
  <c r="C71" i="3"/>
  <c r="K71" i="3"/>
  <c r="L71" i="3"/>
  <c r="C72" i="3"/>
  <c r="K72" i="3"/>
  <c r="L72" i="3"/>
  <c r="C73" i="3"/>
  <c r="K73" i="3"/>
  <c r="L73" i="3"/>
  <c r="C74" i="3"/>
  <c r="K74" i="3"/>
  <c r="L74" i="3"/>
  <c r="C75" i="3"/>
  <c r="K75" i="3"/>
  <c r="L75" i="3"/>
  <c r="C76" i="3"/>
  <c r="K76" i="3"/>
  <c r="L76" i="3"/>
  <c r="C77" i="3"/>
  <c r="K77" i="3"/>
  <c r="L77" i="3"/>
  <c r="C78" i="3"/>
  <c r="K78" i="3"/>
  <c r="L78" i="3"/>
  <c r="C79" i="3"/>
  <c r="K79" i="3"/>
  <c r="L79" i="3"/>
  <c r="C80" i="3"/>
  <c r="K80" i="3"/>
  <c r="L80" i="3"/>
  <c r="C81" i="3"/>
  <c r="K81" i="3"/>
  <c r="L81" i="3"/>
  <c r="C82" i="3"/>
  <c r="K82" i="3"/>
  <c r="L82" i="3"/>
  <c r="K101" i="3"/>
  <c r="L101" i="3"/>
  <c r="C102" i="3"/>
  <c r="K102" i="3"/>
  <c r="L102" i="3"/>
  <c r="C103" i="3"/>
  <c r="K103" i="3"/>
  <c r="L103" i="3"/>
  <c r="C104" i="3"/>
  <c r="K104" i="3"/>
  <c r="L104" i="3"/>
  <c r="C105" i="3"/>
  <c r="K105" i="3"/>
  <c r="L105" i="3"/>
  <c r="K106" i="3"/>
  <c r="L106" i="3"/>
  <c r="C107" i="3"/>
  <c r="K107" i="3"/>
  <c r="L107" i="3"/>
  <c r="C108" i="3"/>
  <c r="K108" i="3"/>
  <c r="L108" i="3"/>
  <c r="C109" i="3"/>
  <c r="K109" i="3"/>
  <c r="L109" i="3"/>
  <c r="K111" i="3"/>
  <c r="L111" i="3"/>
  <c r="C112" i="3"/>
  <c r="K112" i="3"/>
  <c r="L112" i="3"/>
  <c r="C113" i="3"/>
  <c r="K113" i="3"/>
  <c r="L113" i="3"/>
  <c r="C114" i="3"/>
  <c r="K114" i="3"/>
  <c r="L114" i="3"/>
  <c r="C115" i="3"/>
  <c r="K115" i="3"/>
  <c r="L115" i="3"/>
  <c r="C116" i="3"/>
  <c r="K116" i="3"/>
  <c r="L116" i="3"/>
  <c r="C117" i="3"/>
  <c r="K117" i="3"/>
  <c r="L117" i="3"/>
  <c r="C118" i="3"/>
  <c r="K118" i="3"/>
  <c r="L118" i="3"/>
  <c r="C119" i="3"/>
  <c r="K119" i="3"/>
  <c r="L119" i="3"/>
  <c r="C120" i="3"/>
  <c r="K120" i="3"/>
  <c r="L120" i="3"/>
  <c r="C121" i="3"/>
  <c r="K121" i="3"/>
  <c r="L121" i="3"/>
  <c r="C122" i="3"/>
  <c r="K122" i="3"/>
  <c r="L122" i="3"/>
  <c r="C123" i="3"/>
  <c r="K123" i="3"/>
  <c r="L123" i="3"/>
  <c r="C126" i="3"/>
  <c r="K126" i="3"/>
  <c r="L126" i="3"/>
  <c r="C127" i="3"/>
  <c r="K127" i="3"/>
  <c r="L127" i="3"/>
  <c r="C129" i="3"/>
  <c r="L129" i="3"/>
  <c r="C130" i="3"/>
  <c r="K130" i="3"/>
  <c r="L130" i="3"/>
  <c r="C131" i="3"/>
  <c r="K131" i="3"/>
  <c r="L131" i="3"/>
  <c r="C132" i="3"/>
  <c r="K132" i="3"/>
  <c r="L132" i="3"/>
  <c r="C133" i="3"/>
  <c r="K133" i="3"/>
  <c r="L133" i="3"/>
  <c r="C134" i="3"/>
  <c r="K134" i="3"/>
  <c r="L134" i="3"/>
  <c r="C135" i="3"/>
  <c r="K135" i="3"/>
  <c r="L135" i="3"/>
  <c r="C136" i="3"/>
  <c r="L136" i="3"/>
  <c r="C137" i="3"/>
  <c r="L137" i="3"/>
  <c r="C138" i="3"/>
  <c r="L138" i="3"/>
  <c r="C139" i="3"/>
  <c r="L139" i="3"/>
  <c r="K146" i="3"/>
  <c r="L146" i="3"/>
  <c r="K147" i="3"/>
  <c r="L147" i="3"/>
  <c r="C148" i="3"/>
  <c r="K148" i="3"/>
  <c r="L148" i="3"/>
  <c r="C149" i="3"/>
  <c r="K149" i="3"/>
  <c r="L149" i="3"/>
  <c r="C150" i="3"/>
  <c r="K150" i="3"/>
  <c r="L150" i="3"/>
  <c r="C151" i="3"/>
  <c r="K151" i="3"/>
  <c r="L151" i="3"/>
  <c r="C152" i="3"/>
  <c r="K152" i="3"/>
  <c r="L152" i="3"/>
  <c r="C153" i="3"/>
  <c r="K153" i="3"/>
  <c r="L153" i="3"/>
  <c r="C154" i="3"/>
  <c r="L154" i="3"/>
  <c r="C155" i="3"/>
  <c r="L155" i="3"/>
  <c r="C156" i="3"/>
  <c r="L156" i="3"/>
  <c r="C157" i="3"/>
  <c r="K157" i="3"/>
  <c r="L157" i="3"/>
  <c r="K158" i="3"/>
  <c r="L158" i="3"/>
  <c r="K159" i="3"/>
  <c r="L159" i="3"/>
  <c r="C160" i="3"/>
  <c r="K160" i="3"/>
  <c r="L160" i="3"/>
  <c r="C161" i="3"/>
  <c r="K161" i="3"/>
  <c r="L161" i="3"/>
  <c r="C162" i="3"/>
  <c r="K162" i="3"/>
  <c r="L162" i="3"/>
  <c r="K163" i="3"/>
  <c r="L163" i="3"/>
  <c r="K164" i="3"/>
  <c r="L164" i="3"/>
  <c r="K165" i="3"/>
  <c r="L165" i="3"/>
  <c r="C166" i="3"/>
  <c r="K166" i="3"/>
  <c r="L166" i="3"/>
  <c r="C167" i="3"/>
  <c r="K167" i="3"/>
  <c r="L167" i="3"/>
  <c r="C168" i="3"/>
  <c r="K168" i="3"/>
  <c r="L168" i="3"/>
  <c r="C169" i="3"/>
  <c r="K169" i="3"/>
  <c r="L169" i="3"/>
  <c r="C170" i="3"/>
  <c r="K170" i="3"/>
  <c r="L170" i="3"/>
  <c r="L173" i="3"/>
  <c r="C174" i="3"/>
  <c r="L174" i="3"/>
  <c r="C175" i="3"/>
  <c r="L175" i="3"/>
  <c r="C176" i="3"/>
  <c r="L176" i="3"/>
  <c r="C185" i="3"/>
  <c r="L185" i="3"/>
  <c r="C186" i="3"/>
  <c r="L186" i="3"/>
  <c r="C187" i="3"/>
  <c r="L187" i="3"/>
  <c r="C188" i="3"/>
  <c r="L188" i="3"/>
  <c r="C189" i="3"/>
  <c r="L189" i="3"/>
  <c r="C190" i="3"/>
  <c r="L190" i="3"/>
  <c r="C191" i="3"/>
  <c r="L191" i="3"/>
  <c r="C192" i="3"/>
  <c r="L192" i="3"/>
  <c r="C193" i="3"/>
  <c r="L193" i="3"/>
  <c r="L217" i="3"/>
  <c r="C182" i="3"/>
  <c r="I182" i="3"/>
  <c r="C177" i="3"/>
  <c r="I177" i="3"/>
  <c r="C4" i="3"/>
  <c r="I4" i="3"/>
  <c r="C5" i="3"/>
  <c r="I5" i="3"/>
  <c r="C7" i="3"/>
  <c r="I7" i="3"/>
  <c r="C8" i="3"/>
  <c r="I8" i="3"/>
  <c r="C9" i="3"/>
  <c r="I9" i="3"/>
  <c r="C10" i="3"/>
  <c r="I10" i="3"/>
  <c r="C11" i="3"/>
  <c r="I11" i="3"/>
  <c r="C12" i="3"/>
  <c r="I12" i="3"/>
  <c r="C13" i="3"/>
  <c r="I13" i="3"/>
  <c r="I14" i="3"/>
  <c r="I15" i="3"/>
  <c r="I16" i="3"/>
  <c r="I17" i="3"/>
  <c r="I18" i="3"/>
  <c r="I19" i="3"/>
  <c r="I20" i="3"/>
  <c r="C21" i="3"/>
  <c r="I21" i="3"/>
  <c r="C22" i="3"/>
  <c r="I22" i="3"/>
  <c r="I29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102" i="3"/>
  <c r="I103" i="3"/>
  <c r="I104" i="3"/>
  <c r="I105" i="3"/>
  <c r="I107" i="3"/>
  <c r="I108" i="3"/>
  <c r="I109" i="3"/>
  <c r="I110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C140" i="3"/>
  <c r="I140" i="3"/>
  <c r="C141" i="3"/>
  <c r="I141" i="3"/>
  <c r="C142" i="3"/>
  <c r="I142" i="3"/>
  <c r="C143" i="3"/>
  <c r="I143" i="3"/>
  <c r="C144" i="3"/>
  <c r="I144" i="3"/>
  <c r="C145" i="3"/>
  <c r="I145" i="3"/>
  <c r="I148" i="3"/>
  <c r="I149" i="3"/>
  <c r="I150" i="3"/>
  <c r="I151" i="3"/>
  <c r="I152" i="3"/>
  <c r="I153" i="3"/>
  <c r="I154" i="3"/>
  <c r="I155" i="3"/>
  <c r="I156" i="3"/>
  <c r="I157" i="3"/>
  <c r="I160" i="3"/>
  <c r="I161" i="3"/>
  <c r="I162" i="3"/>
  <c r="I166" i="3"/>
  <c r="I167" i="3"/>
  <c r="I168" i="3"/>
  <c r="I169" i="3"/>
  <c r="I170" i="3"/>
  <c r="I171" i="3"/>
  <c r="I172" i="3"/>
  <c r="I174" i="3"/>
  <c r="I175" i="3"/>
  <c r="I176" i="3"/>
  <c r="C178" i="3"/>
  <c r="I178" i="3"/>
  <c r="C179" i="3"/>
  <c r="I179" i="3"/>
  <c r="C180" i="3"/>
  <c r="I180" i="3"/>
  <c r="C181" i="3"/>
  <c r="I181" i="3"/>
  <c r="C183" i="3"/>
  <c r="I183" i="3"/>
  <c r="C184" i="3"/>
  <c r="I184" i="3"/>
  <c r="I185" i="3"/>
  <c r="I186" i="3"/>
  <c r="I187" i="3"/>
  <c r="I188" i="3"/>
  <c r="I189" i="3"/>
  <c r="I190" i="3"/>
  <c r="I191" i="3"/>
  <c r="I192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D224" i="3"/>
  <c r="L182" i="3"/>
  <c r="F224" i="3"/>
  <c r="L177" i="3"/>
  <c r="L140" i="3"/>
  <c r="L141" i="3"/>
  <c r="L142" i="3"/>
  <c r="L143" i="3"/>
  <c r="L144" i="3"/>
  <c r="L145" i="3"/>
  <c r="L178" i="3"/>
  <c r="L179" i="3"/>
  <c r="L180" i="3"/>
  <c r="L181" i="3"/>
  <c r="L218" i="3"/>
  <c r="L4" i="3"/>
  <c r="L5" i="3"/>
  <c r="L6" i="3"/>
  <c r="L7" i="3"/>
  <c r="L8" i="3"/>
  <c r="L9" i="3"/>
  <c r="L10" i="3"/>
  <c r="L11" i="3"/>
  <c r="L12" i="3"/>
  <c r="K13" i="3"/>
  <c r="L13" i="3"/>
  <c r="K21" i="3"/>
  <c r="L21" i="3"/>
  <c r="K22" i="3"/>
  <c r="L22" i="3"/>
  <c r="L216" i="3"/>
  <c r="D225" i="3"/>
  <c r="D223" i="3"/>
  <c r="D222" i="3"/>
  <c r="D221" i="3"/>
  <c r="D63" i="4"/>
  <c r="F177" i="3"/>
  <c r="G177" i="3"/>
  <c r="F182" i="3"/>
  <c r="G182" i="3"/>
  <c r="F178" i="3"/>
  <c r="G178" i="3"/>
  <c r="F179" i="3"/>
  <c r="G179" i="3"/>
  <c r="F180" i="3"/>
  <c r="G180" i="3"/>
  <c r="F181" i="3"/>
  <c r="G181" i="3"/>
  <c r="F183" i="3"/>
  <c r="G183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O193" i="3"/>
  <c r="Y546" i="2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G11" i="3"/>
  <c r="F12" i="3"/>
  <c r="G12" i="3"/>
  <c r="O12" i="3"/>
  <c r="Y538" i="2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O22" i="3"/>
  <c r="Y539" i="2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O44" i="3"/>
  <c r="Y540" i="2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O82" i="3"/>
  <c r="Y541" i="2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O101" i="3"/>
  <c r="Y542" i="2"/>
  <c r="F140" i="3"/>
  <c r="G140" i="3"/>
  <c r="F141" i="3"/>
  <c r="G141" i="3"/>
  <c r="F142" i="3"/>
  <c r="G142" i="3"/>
  <c r="F143" i="3"/>
  <c r="G143" i="3"/>
  <c r="F144" i="3"/>
  <c r="G144" i="3"/>
  <c r="F145" i="3"/>
  <c r="G145" i="3"/>
  <c r="O145" i="3"/>
  <c r="Y543" i="2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O164" i="3"/>
  <c r="Y544" i="2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O165" i="3"/>
  <c r="Y545" i="2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/>
  <c r="F207" i="3"/>
  <c r="G207" i="3"/>
  <c r="F208" i="3"/>
  <c r="G208" i="3"/>
  <c r="O208" i="3"/>
  <c r="Y547" i="2"/>
  <c r="Y550" i="2"/>
  <c r="Y551" i="2"/>
  <c r="C9" i="4"/>
  <c r="C8" i="4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C209" i="3"/>
  <c r="N209" i="3"/>
  <c r="C210" i="3"/>
  <c r="N210" i="3"/>
  <c r="C211" i="3"/>
  <c r="N211" i="3"/>
  <c r="C212" i="3"/>
  <c r="N212" i="3"/>
  <c r="C213" i="3"/>
  <c r="N213" i="3"/>
  <c r="F211" i="3"/>
  <c r="F18" i="4"/>
  <c r="B18" i="4"/>
  <c r="C2" i="3"/>
  <c r="C18" i="4"/>
  <c r="D2" i="3"/>
  <c r="D18" i="4"/>
  <c r="E2" i="3"/>
  <c r="F2" i="3"/>
  <c r="F20" i="4"/>
  <c r="B20" i="4"/>
  <c r="G20" i="4"/>
  <c r="F21" i="4"/>
  <c r="B21" i="4"/>
  <c r="G21" i="4"/>
  <c r="F22" i="4"/>
  <c r="B22" i="4"/>
  <c r="G22" i="4"/>
  <c r="F23" i="4"/>
  <c r="B23" i="4"/>
  <c r="G23" i="4"/>
  <c r="F24" i="4"/>
  <c r="B24" i="4"/>
  <c r="G24" i="4"/>
  <c r="F25" i="4"/>
  <c r="B25" i="4"/>
  <c r="G25" i="4"/>
  <c r="F26" i="4"/>
  <c r="B26" i="4"/>
  <c r="G26" i="4"/>
  <c r="F27" i="4"/>
  <c r="B27" i="4"/>
  <c r="G27" i="4"/>
  <c r="F28" i="4"/>
  <c r="B28" i="4"/>
  <c r="G28" i="4"/>
  <c r="F29" i="4"/>
  <c r="B29" i="4"/>
  <c r="G29" i="4"/>
  <c r="F30" i="4"/>
  <c r="B30" i="4"/>
  <c r="G30" i="4"/>
  <c r="F31" i="4"/>
  <c r="B31" i="4"/>
  <c r="G31" i="4"/>
  <c r="F32" i="4"/>
  <c r="B32" i="4"/>
  <c r="G32" i="4"/>
  <c r="F33" i="4"/>
  <c r="B33" i="4"/>
  <c r="G33" i="4"/>
  <c r="F34" i="4"/>
  <c r="B34" i="4"/>
  <c r="G34" i="4"/>
  <c r="F35" i="4"/>
  <c r="B35" i="4"/>
  <c r="G35" i="4"/>
  <c r="F36" i="4"/>
  <c r="B36" i="4"/>
  <c r="G36" i="4"/>
  <c r="F37" i="4"/>
  <c r="B37" i="4"/>
  <c r="G37" i="4"/>
  <c r="F38" i="4"/>
  <c r="B38" i="4"/>
  <c r="G38" i="4"/>
  <c r="F39" i="4"/>
  <c r="B39" i="4"/>
  <c r="G39" i="4"/>
  <c r="F40" i="4"/>
  <c r="B40" i="4"/>
  <c r="G40" i="4"/>
  <c r="F41" i="4"/>
  <c r="B41" i="4"/>
  <c r="G41" i="4"/>
  <c r="F42" i="4"/>
  <c r="B42" i="4"/>
  <c r="G42" i="4"/>
  <c r="F43" i="4"/>
  <c r="B43" i="4"/>
  <c r="G43" i="4"/>
  <c r="F44" i="4"/>
  <c r="B44" i="4"/>
  <c r="G44" i="4"/>
  <c r="F45" i="4"/>
  <c r="B45" i="4"/>
  <c r="G45" i="4"/>
  <c r="F46" i="4"/>
  <c r="B46" i="4"/>
  <c r="G46" i="4"/>
  <c r="F47" i="4"/>
  <c r="B47" i="4"/>
  <c r="G47" i="4"/>
  <c r="F48" i="4"/>
  <c r="B48" i="4"/>
  <c r="G48" i="4"/>
  <c r="F49" i="4"/>
  <c r="B49" i="4"/>
  <c r="G49" i="4"/>
  <c r="F50" i="4"/>
  <c r="B50" i="4"/>
  <c r="G50" i="4"/>
  <c r="F51" i="4"/>
  <c r="B51" i="4"/>
  <c r="G51" i="4"/>
  <c r="F52" i="4"/>
  <c r="B52" i="4"/>
  <c r="G52" i="4"/>
  <c r="F53" i="4"/>
  <c r="B53" i="4"/>
  <c r="G53" i="4"/>
  <c r="F54" i="4"/>
  <c r="B54" i="4"/>
  <c r="G54" i="4"/>
  <c r="F55" i="4"/>
  <c r="B55" i="4"/>
  <c r="G55" i="4"/>
  <c r="F56" i="4"/>
  <c r="B56" i="4"/>
  <c r="G56" i="4"/>
  <c r="F57" i="4"/>
  <c r="B57" i="4"/>
  <c r="G57" i="4"/>
  <c r="F58" i="4"/>
  <c r="B58" i="4"/>
  <c r="G58" i="4"/>
  <c r="G59" i="4"/>
  <c r="C56" i="4"/>
  <c r="D56" i="4"/>
  <c r="C57" i="4"/>
  <c r="D57" i="4"/>
  <c r="C58" i="4"/>
  <c r="D58" i="4"/>
  <c r="N217" i="2"/>
  <c r="N239" i="2"/>
  <c r="I217" i="2"/>
  <c r="S206" i="2"/>
  <c r="C44" i="4"/>
  <c r="C45" i="4"/>
  <c r="C46" i="4"/>
  <c r="C47" i="4"/>
  <c r="D129" i="3"/>
  <c r="C48" i="4"/>
  <c r="D130" i="3"/>
  <c r="C49" i="4"/>
  <c r="C50" i="4"/>
  <c r="C51" i="4"/>
  <c r="C52" i="4"/>
  <c r="C53" i="4"/>
  <c r="C54" i="4"/>
  <c r="C55" i="4"/>
  <c r="D44" i="4"/>
  <c r="D45" i="4"/>
  <c r="D46" i="4"/>
  <c r="D47" i="4"/>
  <c r="D48" i="4"/>
  <c r="D49" i="4"/>
  <c r="D50" i="4"/>
  <c r="D51" i="4"/>
  <c r="D52" i="4"/>
  <c r="D53" i="4"/>
  <c r="D54" i="4"/>
  <c r="D55" i="4"/>
  <c r="D24" i="4"/>
  <c r="D25" i="4"/>
  <c r="D26" i="4"/>
  <c r="D27" i="4"/>
  <c r="D28" i="4"/>
  <c r="D29" i="4"/>
  <c r="D30" i="4"/>
  <c r="D31" i="4"/>
  <c r="D32" i="4"/>
  <c r="D33" i="4"/>
  <c r="D34" i="4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/>
  <c r="N206" i="2"/>
  <c r="F85" i="3"/>
  <c r="G85" i="3"/>
  <c r="F86" i="3"/>
  <c r="G86" i="3"/>
  <c r="X206" i="2"/>
  <c r="F87" i="3"/>
  <c r="G87" i="3"/>
  <c r="D217" i="2"/>
  <c r="F88" i="3"/>
  <c r="G88" i="3"/>
  <c r="F89" i="3"/>
  <c r="G89" i="3"/>
  <c r="F90" i="3"/>
  <c r="G90" i="3"/>
  <c r="S217" i="2"/>
  <c r="F91" i="3"/>
  <c r="G91" i="3"/>
  <c r="X217" i="2"/>
  <c r="F92" i="3"/>
  <c r="G92" i="3"/>
  <c r="D228" i="2"/>
  <c r="F93" i="3"/>
  <c r="G93" i="3"/>
  <c r="I228" i="2"/>
  <c r="F94" i="3"/>
  <c r="G94" i="3"/>
  <c r="N228" i="2"/>
  <c r="F95" i="3"/>
  <c r="G95" i="3"/>
  <c r="S228" i="2"/>
  <c r="F96" i="3"/>
  <c r="G96" i="3"/>
  <c r="X228" i="2"/>
  <c r="F97" i="3"/>
  <c r="G97" i="3"/>
  <c r="D239" i="2"/>
  <c r="F98" i="3"/>
  <c r="G98" i="3"/>
  <c r="I239" i="2"/>
  <c r="F99" i="3"/>
  <c r="G99" i="3"/>
  <c r="F100" i="3"/>
  <c r="G100" i="3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D206" i="2"/>
  <c r="N151" i="2"/>
  <c r="D151" i="2"/>
  <c r="S140" i="2"/>
  <c r="N140" i="2"/>
  <c r="I140" i="2"/>
  <c r="D140" i="2"/>
  <c r="X129" i="2"/>
  <c r="S129" i="2"/>
  <c r="N129" i="2"/>
  <c r="I129" i="2"/>
  <c r="D129" i="2"/>
  <c r="X118" i="2"/>
  <c r="N118" i="2"/>
  <c r="I118" i="2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83" i="3"/>
  <c r="G83" i="3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F225" i="3"/>
  <c r="F222" i="3"/>
  <c r="H22" i="5"/>
  <c r="E220" i="3"/>
  <c r="F223" i="3"/>
  <c r="F221" i="3"/>
  <c r="G221" i="3"/>
  <c r="G222" i="3"/>
  <c r="G223" i="3"/>
  <c r="D227" i="3"/>
  <c r="E56" i="5"/>
  <c r="F56" i="5"/>
  <c r="G56" i="5"/>
  <c r="C56" i="5"/>
  <c r="I56" i="5"/>
  <c r="D56" i="5"/>
  <c r="G224" i="3"/>
  <c r="J56" i="5"/>
  <c r="G225" i="3"/>
  <c r="G226" i="3"/>
  <c r="Y554" i="2"/>
  <c r="Y1" i="2"/>
  <c r="D61" i="4"/>
  <c r="D62" i="4"/>
  <c r="C62" i="4"/>
  <c r="G211" i="3"/>
  <c r="C43" i="4"/>
  <c r="H21" i="5"/>
  <c r="C61" i="4"/>
  <c r="I42" i="5"/>
  <c r="E49" i="5"/>
  <c r="G45" i="5"/>
  <c r="E37" i="5"/>
  <c r="G38" i="5"/>
  <c r="D43" i="4"/>
  <c r="C29" i="4"/>
  <c r="C38" i="4"/>
  <c r="C37" i="4"/>
  <c r="C30" i="4"/>
  <c r="C32" i="4"/>
  <c r="D37" i="4"/>
  <c r="C35" i="4"/>
  <c r="C33" i="4"/>
  <c r="C36" i="4"/>
  <c r="C34" i="4"/>
  <c r="C42" i="4"/>
  <c r="D41" i="4"/>
  <c r="C41" i="4"/>
  <c r="C39" i="4"/>
  <c r="D35" i="4"/>
  <c r="D39" i="4"/>
  <c r="D40" i="4"/>
  <c r="D42" i="4"/>
  <c r="D36" i="4"/>
  <c r="D38" i="4"/>
  <c r="C31" i="4"/>
  <c r="C40" i="4"/>
  <c r="E34" i="5"/>
  <c r="I49" i="5"/>
  <c r="J49" i="5"/>
  <c r="F57" i="5"/>
  <c r="I59" i="5"/>
  <c r="G30" i="5"/>
  <c r="C60" i="5"/>
  <c r="C55" i="5"/>
  <c r="F47" i="5"/>
  <c r="G29" i="5"/>
  <c r="D37" i="5"/>
  <c r="C50" i="5"/>
  <c r="C35" i="5"/>
  <c r="F52" i="5"/>
  <c r="C29" i="5"/>
  <c r="D43" i="5"/>
  <c r="E29" i="5"/>
  <c r="I43" i="5"/>
  <c r="G36" i="5"/>
  <c r="D54" i="5"/>
  <c r="I58" i="5"/>
  <c r="F34" i="5"/>
  <c r="I28" i="5"/>
  <c r="C48" i="5"/>
  <c r="C38" i="5"/>
  <c r="C52" i="5"/>
  <c r="F31" i="5"/>
  <c r="I35" i="5"/>
  <c r="F45" i="5"/>
  <c r="G55" i="5"/>
  <c r="C54" i="5"/>
  <c r="G58" i="5"/>
  <c r="I36" i="5"/>
  <c r="C58" i="5"/>
  <c r="D32" i="5"/>
  <c r="G44" i="5"/>
  <c r="I34" i="5"/>
  <c r="I31" i="5"/>
  <c r="F36" i="5"/>
  <c r="D41" i="5"/>
  <c r="D35" i="5"/>
  <c r="E50" i="5"/>
  <c r="D33" i="5"/>
  <c r="D60" i="5"/>
  <c r="C33" i="5"/>
  <c r="G52" i="5"/>
  <c r="C43" i="5"/>
  <c r="C28" i="5"/>
  <c r="F59" i="5"/>
  <c r="E35" i="5"/>
  <c r="F40" i="5"/>
  <c r="D58" i="5"/>
  <c r="C46" i="5"/>
  <c r="E43" i="5"/>
  <c r="E47" i="5"/>
  <c r="G57" i="5"/>
  <c r="C40" i="5"/>
  <c r="E51" i="5"/>
  <c r="F29" i="5"/>
  <c r="C57" i="5"/>
  <c r="G53" i="5"/>
  <c r="I44" i="5"/>
  <c r="G33" i="5"/>
  <c r="I55" i="5"/>
  <c r="D53" i="5"/>
  <c r="D34" i="5"/>
  <c r="D59" i="5"/>
  <c r="E41" i="5"/>
  <c r="F28" i="5"/>
  <c r="D49" i="5"/>
  <c r="F54" i="5"/>
  <c r="C59" i="5"/>
  <c r="G51" i="5"/>
  <c r="G40" i="5"/>
  <c r="D30" i="5"/>
  <c r="F60" i="5"/>
  <c r="F41" i="5"/>
  <c r="D29" i="5"/>
  <c r="E58" i="5"/>
  <c r="G37" i="5"/>
  <c r="E44" i="5"/>
  <c r="F46" i="5"/>
  <c r="E53" i="5"/>
  <c r="F48" i="5"/>
  <c r="E60" i="5"/>
  <c r="G54" i="5"/>
  <c r="F53" i="5"/>
  <c r="F55" i="5"/>
  <c r="I51" i="5"/>
  <c r="E42" i="5"/>
  <c r="J42" i="5"/>
  <c r="E32" i="5"/>
  <c r="D50" i="5"/>
  <c r="G46" i="5"/>
  <c r="E28" i="5"/>
  <c r="E40" i="5"/>
  <c r="F44" i="5"/>
  <c r="E54" i="5"/>
  <c r="C49" i="5"/>
  <c r="I41" i="5"/>
  <c r="C31" i="5"/>
  <c r="C47" i="5"/>
  <c r="I57" i="5"/>
  <c r="C34" i="5"/>
  <c r="D36" i="5"/>
  <c r="F33" i="5"/>
  <c r="D48" i="5"/>
  <c r="D28" i="5"/>
  <c r="G49" i="5"/>
  <c r="G39" i="5"/>
  <c r="G34" i="5"/>
  <c r="D57" i="5"/>
  <c r="F58" i="5"/>
  <c r="I40" i="5"/>
  <c r="D38" i="5"/>
  <c r="I46" i="5"/>
  <c r="F38" i="5"/>
  <c r="E45" i="5"/>
  <c r="D44" i="5"/>
  <c r="F32" i="5"/>
  <c r="C41" i="5"/>
  <c r="I37" i="5"/>
  <c r="J37" i="5"/>
  <c r="F35" i="5"/>
  <c r="F50" i="5"/>
  <c r="I60" i="5"/>
  <c r="I33" i="5"/>
  <c r="I47" i="5"/>
  <c r="D52" i="5"/>
  <c r="E52" i="5"/>
  <c r="D39" i="5"/>
  <c r="E38" i="5"/>
  <c r="C44" i="5"/>
  <c r="G28" i="5"/>
  <c r="G42" i="5"/>
  <c r="C42" i="5"/>
  <c r="F49" i="5"/>
  <c r="C32" i="5"/>
  <c r="I30" i="5"/>
  <c r="F39" i="5"/>
  <c r="C37" i="5"/>
  <c r="I48" i="5"/>
  <c r="D40" i="5"/>
  <c r="G31" i="5"/>
  <c r="D31" i="5"/>
  <c r="D51" i="5"/>
  <c r="I50" i="5"/>
  <c r="G35" i="5"/>
  <c r="E48" i="5"/>
  <c r="E57" i="5"/>
  <c r="I38" i="5"/>
  <c r="E55" i="5"/>
  <c r="I39" i="5"/>
  <c r="D46" i="5"/>
  <c r="D47" i="5"/>
  <c r="C53" i="5"/>
  <c r="G48" i="5"/>
  <c r="F51" i="5"/>
  <c r="F43" i="5"/>
  <c r="E33" i="5"/>
  <c r="G59" i="5"/>
  <c r="E31" i="5"/>
  <c r="C51" i="5"/>
  <c r="E36" i="5"/>
  <c r="G50" i="5"/>
  <c r="F37" i="5"/>
  <c r="G43" i="5"/>
  <c r="G32" i="5"/>
  <c r="I29" i="5"/>
  <c r="F30" i="5"/>
  <c r="C39" i="5"/>
  <c r="E59" i="5"/>
  <c r="D55" i="5"/>
  <c r="D45" i="5"/>
  <c r="C30" i="5"/>
  <c r="I32" i="5"/>
  <c r="E39" i="5"/>
  <c r="C36" i="5"/>
  <c r="I53" i="5"/>
  <c r="E30" i="5"/>
  <c r="I54" i="5"/>
  <c r="C45" i="5"/>
  <c r="I45" i="5"/>
  <c r="D42" i="5"/>
  <c r="I52" i="5"/>
  <c r="G47" i="5"/>
  <c r="G41" i="5"/>
  <c r="F42" i="5"/>
  <c r="E46" i="5"/>
  <c r="G60" i="5"/>
  <c r="J45" i="5"/>
  <c r="J29" i="5"/>
  <c r="J32" i="5"/>
  <c r="J47" i="5"/>
  <c r="J53" i="5"/>
  <c r="J52" i="5"/>
  <c r="J54" i="5"/>
  <c r="J60" i="5"/>
  <c r="J38" i="5"/>
  <c r="J50" i="5"/>
  <c r="J40" i="5"/>
  <c r="J51" i="5"/>
  <c r="J34" i="5"/>
  <c r="J41" i="5"/>
  <c r="J30" i="5"/>
  <c r="J33" i="5"/>
  <c r="J31" i="5"/>
  <c r="J43" i="5"/>
  <c r="D23" i="4"/>
  <c r="C28" i="4"/>
  <c r="D21" i="4"/>
  <c r="C27" i="4"/>
  <c r="C22" i="4"/>
  <c r="C25" i="4"/>
  <c r="C20" i="4"/>
  <c r="C24" i="4"/>
  <c r="C23" i="4"/>
  <c r="D22" i="4"/>
  <c r="C26" i="4"/>
  <c r="D20" i="4"/>
  <c r="C21" i="4"/>
  <c r="J57" i="5"/>
  <c r="J44" i="5"/>
  <c r="J28" i="5"/>
  <c r="J39" i="5"/>
  <c r="J46" i="5"/>
  <c r="J35" i="5"/>
  <c r="J48" i="5"/>
  <c r="J55" i="5"/>
  <c r="J36" i="5"/>
  <c r="J58" i="5"/>
  <c r="J59" i="5"/>
  <c r="J61" i="5"/>
  <c r="G60" i="4"/>
  <c r="G61" i="4"/>
  <c r="J62" i="5"/>
  <c r="J63" i="5"/>
  <c r="F45" i="3"/>
  <c r="G45" i="3"/>
  <c r="G215" i="3"/>
</calcChain>
</file>

<file path=xl/comments1.xml><?xml version="1.0" encoding="utf-8"?>
<comments xmlns="http://schemas.openxmlformats.org/spreadsheetml/2006/main">
  <authors>
    <author>Julien Depelteau</author>
    <author>Flexpipe Flexpipe</author>
  </authors>
  <commentList>
    <comment ref="Y548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52" authorId="1" shapeId="0">
      <text>
        <r>
          <rPr>
            <b/>
            <sz val="9"/>
            <color indexed="81"/>
            <rFont val="Tahoma"/>
            <family val="2"/>
          </rPr>
          <t>1 to 10 cuts = 12$
11 to 20 cuts = 24$
21 to 30 cuts = 36$
31 to 40 cuts = 48$
41 to 50 cuts = 60$
51 to 60 cuts = 72$
More than 60 cuts = Quote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<sst xmlns="http://schemas.openxmlformats.org/spreadsheetml/2006/main" count="1725" uniqueCount="933">
  <si>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</si>
  <si>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</si>
  <si>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</si>
  <si>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</si>
  <si>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</si>
  <si>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</si>
  <si>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</si>
  <si>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</si>
  <si>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</si>
  <si>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</si>
  <si>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</si>
  <si>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</si>
  <si>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</si>
  <si>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</si>
  <si>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</si>
  <si>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</si>
  <si>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</si>
  <si>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</si>
  <si>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</si>
  <si>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</si>
  <si>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</si>
  <si>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</si>
  <si>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</si>
  <si>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</si>
  <si>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</si>
  <si>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</si>
  <si>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</si>
  <si>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</si>
  <si>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</si>
  <si>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</si>
  <si>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</si>
  <si>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</si>
  <si>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</si>
  <si>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</si>
  <si>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</si>
  <si>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</si>
  <si>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</si>
  <si>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</si>
  <si>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</si>
  <si>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</si>
  <si>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</si>
  <si>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</si>
  <si>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</si>
  <si>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</si>
  <si>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</si>
  <si>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</si>
  <si>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</si>
  <si>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</si>
  <si>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</si>
  <si>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</si>
  <si>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</si>
  <si>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</si>
  <si>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</si>
  <si>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</si>
  <si>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</si>
  <si>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</si>
  <si>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</si>
  <si>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</si>
  <si>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</si>
  <si>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</si>
  <si>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</si>
  <si>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</si>
  <si>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</si>
  <si>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</si>
  <si>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</si>
  <si>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</si>
  <si>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</si>
  <si>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</si>
  <si>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</si>
  <si>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</si>
  <si>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</si>
  <si>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</si>
  <si>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</si>
  <si>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</si>
  <si>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</si>
  <si>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</si>
  <si>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</si>
  <si>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</si>
  <si>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</si>
  <si>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</si>
  <si>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</si>
  <si>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</si>
  <si>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</si>
  <si>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</si>
  <si>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</si>
  <si>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</si>
  <si>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</si>
  <si>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</si>
  <si>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</si>
  <si>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</si>
  <si>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</si>
  <si>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</si>
  <si>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</si>
  <si>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</si>
  <si>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</si>
  <si>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</si>
  <si>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</si>
  <si>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</si>
  <si>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</si>
  <si>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</si>
  <si>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</si>
  <si>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</si>
  <si>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</si>
  <si>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</si>
  <si>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</si>
  <si>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</si>
  <si>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</si>
  <si>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</si>
  <si>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</si>
  <si>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</si>
  <si>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</si>
  <si>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</si>
  <si>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</si>
  <si>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</si>
  <si>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</si>
  <si>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</si>
  <si>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</si>
  <si>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</si>
  <si>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</si>
  <si>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</si>
  <si>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</si>
  <si>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</si>
  <si>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</si>
  <si>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</si>
  <si>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</si>
  <si>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</si>
  <si>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</si>
  <si>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</si>
  <si>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</si>
  <si>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</si>
  <si>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</si>
  <si>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</si>
  <si>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</si>
  <si>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</si>
  <si>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</si>
  <si>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</si>
  <si>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</si>
  <si>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</si>
  <si>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</si>
  <si>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</si>
  <si>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</si>
  <si>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</si>
  <si>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</si>
  <si>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</si>
  <si>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</si>
  <si>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</si>
  <si>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</si>
  <si>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</si>
  <si>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</si>
  <si>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</si>
  <si>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</si>
  <si>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</si>
  <si>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</si>
  <si>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</si>
  <si>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</si>
  <si>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</si>
  <si>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</si>
  <si>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</si>
  <si>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</si>
  <si>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</si>
  <si>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</si>
  <si>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</si>
  <si>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</si>
  <si>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</si>
  <si>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</si>
  <si>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</si>
  <si>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</si>
  <si>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</si>
  <si>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</si>
  <si>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</si>
  <si>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</si>
  <si>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</si>
  <si>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</si>
  <si>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</si>
  <si>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</si>
  <si>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</si>
  <si>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</si>
  <si>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</si>
  <si>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</si>
  <si>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</si>
  <si>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</si>
  <si>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</si>
  <si>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</si>
  <si>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</si>
  <si>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</si>
  <si>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</si>
  <si>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</si>
  <si>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</si>
  <si>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</si>
  <si>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</si>
  <si>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</si>
  <si>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</si>
  <si>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</si>
  <si>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</si>
  <si>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</si>
  <si>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</si>
  <si>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</si>
  <si>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</si>
  <si>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</si>
  <si>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</si>
  <si>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</si>
  <si>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</si>
  <si>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</si>
  <si>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</si>
  <si>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</si>
  <si>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</si>
  <si>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</si>
  <si>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</si>
  <si>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</si>
  <si>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</si>
  <si>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</si>
  <si>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</si>
  <si>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</si>
  <si>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</si>
  <si>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</si>
  <si>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</si>
  <si>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</si>
  <si>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</si>
  <si>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</si>
  <si>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</si>
  <si>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</si>
  <si>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</si>
  <si>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</si>
  <si>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</si>
  <si>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</si>
  <si>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</si>
  <si>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</si>
  <si>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</si>
  <si>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</si>
  <si>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</si>
  <si>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</si>
  <si>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</si>
  <si>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</si>
  <si>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</si>
  <si>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</si>
  <si>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</si>
  <si>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</si>
  <si>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</si>
  <si>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</si>
  <si>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</si>
  <si>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</si>
  <si>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</si>
  <si>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</si>
  <si>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</si>
  <si>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</si>
  <si>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</si>
  <si>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</si>
  <si>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</si>
  <si>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</si>
  <si>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</si>
  <si>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</si>
  <si>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</si>
  <si>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</si>
  <si>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</si>
  <si>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</si>
  <si>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</si>
  <si>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</si>
  <si>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</si>
  <si>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</si>
  <si>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</si>
  <si>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</si>
  <si>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</si>
  <si>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</si>
  <si>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</si>
  <si>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</si>
  <si>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</si>
  <si>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</si>
  <si>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</si>
  <si>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</si>
  <si>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</si>
  <si>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</si>
  <si>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</si>
  <si>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</si>
  <si>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</si>
  <si>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</si>
  <si>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</si>
  <si>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</si>
  <si>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</si>
  <si>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</si>
  <si>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</si>
  <si>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</si>
  <si>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</si>
  <si>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</si>
  <si>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</si>
  <si>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</si>
  <si>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</si>
  <si>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</si>
  <si>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</si>
  <si>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</si>
  <si>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</si>
  <si>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</si>
  <si>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</si>
  <si>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</si>
  <si>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</si>
  <si>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</si>
  <si>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</si>
  <si>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</si>
  <si>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</si>
  <si>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</si>
  <si>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</si>
  <si>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</si>
  <si>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</si>
  <si>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</si>
  <si>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</si>
  <si>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</si>
  <si>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</si>
  <si>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</si>
  <si>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</si>
  <si>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</si>
  <si>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</si>
  <si>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</si>
  <si>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</si>
  <si>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</si>
  <si>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</si>
  <si>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</si>
  <si>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</si>
  <si>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</si>
  <si>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</si>
  <si>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</si>
  <si>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</si>
  <si>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</si>
  <si>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</si>
  <si>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</si>
  <si>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</si>
  <si>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</si>
  <si>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</si>
  <si>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</si>
  <si>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</si>
  <si>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</si>
  <si>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</si>
  <si>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</si>
  <si>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</si>
  <si>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</si>
  <si>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</si>
  <si>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</si>
  <si>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</si>
  <si>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</si>
  <si>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</si>
  <si>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</si>
  <si>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</si>
  <si>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</si>
  <si>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</si>
  <si>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</si>
  <si>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</si>
  <si>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</si>
  <si>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</si>
  <si>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</si>
  <si>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</si>
  <si>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</si>
  <si>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</si>
  <si>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</si>
  <si>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</si>
  <si>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</si>
  <si>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</si>
  <si>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</si>
  <si>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</si>
  <si>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</si>
  <si>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</si>
  <si>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</si>
  <si>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</si>
  <si>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</si>
  <si>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</si>
  <si>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</si>
  <si>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</si>
  <si>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</si>
  <si>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</si>
  <si>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</si>
  <si>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</si>
  <si>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</si>
  <si>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</si>
  <si>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</si>
  <si>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</si>
  <si>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</si>
  <si>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</si>
  <si>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</si>
  <si>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</si>
  <si>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</si>
  <si>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</si>
  <si>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</si>
  <si>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</si>
  <si>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</si>
  <si>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</si>
  <si>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</si>
  <si>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</si>
  <si>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</si>
  <si>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</si>
  <si>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</si>
  <si>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</si>
  <si>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</si>
  <si>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</si>
  <si>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</si>
  <si>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</si>
  <si>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</si>
  <si>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</si>
  <si>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</si>
  <si>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</si>
  <si>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</si>
  <si>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</si>
  <si>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</si>
  <si>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</si>
  <si>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</si>
  <si>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</si>
  <si>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</si>
  <si>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</si>
  <si>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</si>
  <si>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</si>
  <si>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</si>
  <si>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</si>
  <si>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</si>
  <si>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</si>
  <si>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</si>
  <si>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</si>
  <si>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</si>
  <si>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</si>
  <si>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</si>
  <si>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</si>
  <si>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</si>
  <si>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</si>
  <si>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</si>
  <si>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</si>
  <si>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</si>
  <si>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</si>
  <si>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End cap for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</si>
  <si>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</si>
  <si>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</si>
  <si>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</si>
  <si>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</si>
  <si>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</si>
  <si>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</si>
  <si>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</si>
  <si>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</si>
  <si>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</si>
  <si>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</si>
  <si>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</si>
  <si>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</si>
  <si>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</si>
  <si>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</si>
  <si>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</si>
  <si>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</si>
  <si>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</si>
  <si>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</si>
  <si>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</si>
  <si>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</si>
  <si>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</si>
  <si>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</si>
  <si>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</si>
  <si>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</si>
  <si>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</si>
  <si>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</si>
  <si>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</si>
  <si>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</si>
  <si>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</si>
  <si>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</si>
  <si>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</si>
  <si>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</si>
  <si>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</si>
  <si>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</si>
  <si>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</si>
  <si>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</si>
  <si>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</si>
  <si>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</si>
  <si>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</si>
  <si>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</si>
  <si>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</si>
  <si>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</si>
  <si>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</si>
  <si>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</si>
  <si>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</si>
  <si>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</si>
  <si>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</si>
  <si>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</si>
  <si>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</si>
  <si>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</si>
  <si>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</si>
  <si>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</si>
  <si>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</si>
  <si>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</si>
  <si>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</si>
  <si>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</si>
  <si>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</si>
  <si>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</si>
  <si>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</si>
  <si>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</si>
  <si>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</si>
  <si>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</si>
  <si>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</si>
  <si>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</si>
  <si>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</si>
  <si>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</si>
  <si>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</si>
  <si>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</si>
  <si>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</si>
  <si>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</si>
  <si>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</si>
  <si>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</si>
  <si>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</si>
  <si>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</si>
  <si>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</si>
  <si>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</si>
  <si>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</si>
  <si>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</si>
  <si>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</si>
  <si>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</si>
  <si>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</si>
  <si>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</si>
  <si>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</si>
  <si>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</si>
  <si>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</si>
  <si>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</si>
  <si>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</si>
  <si>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</si>
  <si>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</si>
  <si>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</si>
  <si>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</si>
  <si>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</si>
  <si>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</si>
  <si>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</si>
  <si>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</si>
  <si>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</si>
  <si>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</si>
  <si>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</si>
  <si>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</si>
  <si>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</si>
  <si>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</si>
  <si>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</si>
  <si>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</si>
  <si>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</si>
  <si>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</si>
  <si>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</si>
  <si>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</si>
  <si>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</si>
  <si>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</si>
  <si>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</si>
  <si>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</si>
  <si>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</si>
  <si>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</si>
  <si>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</si>
  <si>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</si>
  <si>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</si>
  <si>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</si>
  <si>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</si>
  <si>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</si>
  <si>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</si>
  <si>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</si>
  <si>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</si>
  <si>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BC-4</t>
  </si>
  <si>
    <t>BC-6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</si>
  <si>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</si>
  <si>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</si>
  <si>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</si>
  <si>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</si>
  <si>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</si>
  <si>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</si>
  <si>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</si>
  <si>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</si>
  <si>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</si>
  <si>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</si>
  <si>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</si>
  <si>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</si>
  <si>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Ethafoam black 1,7lbs           48'' X 114'' X 1''</t>
  </si>
  <si>
    <t>CASTERS: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</si>
  <si>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</si>
  <si>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</si>
  <si>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</si>
  <si>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</si>
  <si>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</si>
  <si>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</si>
  <si>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</si>
  <si>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</si>
  <si>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</si>
  <si>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</si>
  <si>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</si>
  <si>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</si>
  <si>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</si>
  <si>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</si>
  <si>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</si>
  <si>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</si>
  <si>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</si>
  <si>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</si>
  <si>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</si>
  <si>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</si>
  <si>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</si>
  <si>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</si>
  <si>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</si>
  <si>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</si>
  <si>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</si>
  <si>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</si>
  <si>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</si>
  <si>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</si>
  <si>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</si>
  <si>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</si>
  <si>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</si>
  <si>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</si>
  <si>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</si>
  <si>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</si>
  <si>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</si>
  <si>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</si>
  <si>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</si>
  <si>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</si>
  <si>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</si>
  <si>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</si>
  <si>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</si>
  <si>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</si>
  <si>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</si>
  <si>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</si>
  <si>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</si>
  <si>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</si>
  <si>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</si>
  <si>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</si>
  <si>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</si>
  <si>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</si>
  <si>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CAD PRICE LIST 2018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</si>
  <si>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</si>
  <si>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</si>
  <si>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</si>
  <si>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</si>
  <si>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</si>
  <si>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</si>
  <si>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</si>
  <si>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</si>
  <si>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</si>
  <si>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</si>
  <si>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</si>
  <si>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</si>
  <si>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</si>
  <si>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</si>
  <si>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</si>
  <si>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</si>
  <si>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</si>
  <si>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</si>
  <si>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</si>
  <si>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</si>
  <si>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</si>
  <si>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</si>
  <si>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</si>
  <si>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</si>
  <si>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</si>
  <si>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</si>
  <si>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</si>
  <si>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</si>
  <si>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</si>
  <si>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</si>
  <si>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</si>
  <si>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</si>
  <si>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</si>
  <si>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</si>
  <si>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</si>
  <si>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</si>
  <si>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</si>
  <si>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</si>
  <si>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</si>
  <si>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Parallel hinge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</si>
  <si>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</si>
  <si>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</si>
  <si>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</si>
  <si>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</si>
  <si>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</si>
  <si>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</si>
  <si>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</si>
  <si>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</si>
  <si>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</si>
  <si>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</si>
  <si>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</si>
  <si>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</si>
  <si>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</si>
  <si>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</si>
  <si>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</si>
  <si>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</si>
  <si>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</si>
  <si>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</si>
  <si>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</si>
  <si>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</si>
  <si>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</si>
  <si>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</si>
  <si>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</si>
  <si>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</si>
  <si>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</si>
  <si>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</si>
  <si>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</si>
  <si>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</si>
  <si>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</si>
  <si>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</si>
  <si>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</si>
  <si>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</si>
  <si>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r>
      <rPr>
        <b/>
        <sz val="9.5"/>
        <color rgb="FFFF6400"/>
        <rFont val="Arial"/>
        <family val="2"/>
      </rPr>
      <t xml:space="preserve">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</si>
  <si>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</si>
  <si>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Square screws #8 X 1/2" to install accessories</t>
    </r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</si>
  <si>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</si>
  <si>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</si>
  <si>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</si>
  <si>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</si>
  <si>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</si>
  <si>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</si>
  <si>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>Bolt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</si>
  <si>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</si>
  <si>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</si>
  <si>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</si>
  <si>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</si>
  <si>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</si>
  <si>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</si>
  <si>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</si>
  <si>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</si>
  <si>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</si>
  <si>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</si>
  <si>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</si>
  <si>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</si>
  <si>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</si>
  <si>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</si>
  <si>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</si>
  <si>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</si>
  <si>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</si>
  <si>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</si>
  <si>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</si>
  <si>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</si>
  <si>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</si>
  <si>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</si>
  <si>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</si>
  <si>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</si>
  <si>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</si>
  <si>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</si>
  <si>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</si>
  <si>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</si>
  <si>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</si>
  <si>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</si>
  <si>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</si>
  <si>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</si>
  <si>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</si>
  <si>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</si>
  <si>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</si>
  <si>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</si>
  <si>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</si>
  <si>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</si>
  <si>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</si>
  <si>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</si>
  <si>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</si>
  <si>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</si>
  <si>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</si>
  <si>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</si>
  <si>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</si>
  <si>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</si>
  <si>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</si>
  <si>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</si>
  <si>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</si>
  <si>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</si>
  <si>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</si>
  <si>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</si>
  <si>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</si>
  <si>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</si>
  <si>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</si>
  <si>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</si>
  <si>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</si>
  <si>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</si>
  <si>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</si>
  <si>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</si>
  <si>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</si>
  <si>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</si>
  <si>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</si>
  <si>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</si>
  <si>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</si>
  <si>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Pipe mount drop stop steelzinc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</si>
  <si>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</si>
  <si>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</si>
  <si>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</si>
  <si>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</si>
  <si>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</si>
  <si>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</si>
  <si>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</si>
  <si>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</si>
  <si>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</si>
  <si>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</si>
  <si>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</si>
  <si>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</si>
  <si>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</si>
  <si>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</si>
  <si>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</si>
  <si>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</si>
  <si>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Paral. hinge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</si>
  <si>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</si>
  <si>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</si>
  <si>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</si>
  <si>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</si>
  <si>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</si>
  <si>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</si>
  <si>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</si>
  <si>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</si>
  <si>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</si>
  <si>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</si>
  <si>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</si>
  <si>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</si>
  <si>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</si>
  <si>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</si>
  <si>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</si>
  <si>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</si>
  <si>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</si>
  <si>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</si>
  <si>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</si>
  <si>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Parallel hinge joint steel cr</t>
  </si>
  <si>
    <t>Round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</si>
  <si>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</si>
  <si>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</si>
  <si>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</si>
  <si>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</si>
  <si>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</si>
  <si>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</si>
  <si>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</si>
  <si>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</si>
  <si>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</si>
  <si>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</si>
  <si>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</si>
  <si>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</si>
  <si>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</si>
  <si>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</si>
  <si>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</si>
  <si>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</si>
  <si>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Paral. hinge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</si>
  <si>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</si>
  <si>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</si>
  <si>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</si>
  <si>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</si>
  <si>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</si>
  <si>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Hinge bracket plastic white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</si>
  <si>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</si>
  <si>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</si>
  <si>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</si>
  <si>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</si>
  <si>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</si>
  <si>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</si>
  <si>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</si>
  <si>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</si>
  <si>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</si>
  <si>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</si>
  <si>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</si>
  <si>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</si>
  <si>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</si>
  <si>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</si>
  <si>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</si>
  <si>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</si>
  <si>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</si>
  <si>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</si>
  <si>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</si>
  <si>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</si>
  <si>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</si>
  <si>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</si>
  <si>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</si>
  <si>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</si>
  <si>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</si>
  <si>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</si>
  <si>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</si>
  <si>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</si>
  <si>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</si>
  <si>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</si>
  <si>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</si>
  <si>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</si>
  <si>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</si>
  <si>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</si>
  <si>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</si>
  <si>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</si>
  <si>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</si>
  <si>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</si>
  <si>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White alu clad 4X8X1/8''</t>
  </si>
  <si>
    <t>Black motion mat  2X8X1/8''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</si>
  <si>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</si>
  <si>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</si>
  <si>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</si>
  <si>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</si>
  <si>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</si>
  <si>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</si>
  <si>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</si>
  <si>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</si>
  <si>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</si>
  <si>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</si>
  <si>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</si>
  <si>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</si>
  <si>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</si>
  <si>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</si>
  <si>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</si>
  <si>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</si>
  <si>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</si>
  <si>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</si>
  <si>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</si>
  <si>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Bolt for caster white zinc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</si>
  <si>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</si>
  <si>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</si>
  <si>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</si>
  <si>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</si>
  <si>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</si>
  <si>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</si>
  <si>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</si>
  <si>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</si>
  <si>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</si>
  <si>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</si>
  <si>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</si>
  <si>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3'' ESD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</si>
  <si>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</si>
  <si>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</si>
  <si>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</si>
  <si>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</si>
  <si>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</si>
  <si>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</si>
  <si>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</si>
  <si>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</si>
  <si>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</si>
  <si>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</si>
  <si>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</si>
  <si>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</si>
  <si>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</si>
  <si>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</si>
  <si>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</si>
  <si>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</si>
  <si>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</si>
  <si>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</si>
  <si>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</si>
  <si>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</si>
  <si>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</si>
  <si>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</si>
  <si>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</si>
  <si>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</si>
  <si>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</si>
  <si>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</si>
  <si>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</si>
  <si>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</si>
  <si>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</si>
  <si>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</si>
  <si>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</si>
  <si>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</si>
  <si>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</si>
  <si>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</si>
  <si>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</si>
  <si>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</si>
  <si>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</si>
  <si>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</si>
  <si>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r>
      <rPr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3" Rigid caster                     150lbs cap. </t>
    </r>
  </si>
  <si>
    <t>Small Starter 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</si>
</sst>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8"/>
      <color rgb="FFFF64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1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101" fillId="23" borderId="0" xfId="0" applyFont="1" applyFill="1" applyBorder="1" applyAlignment="1" applyProtection="1">
      <alignment horizontal="left"/>
    </xf>
    <xf numFmtId="0" fontId="101" fillId="23" borderId="0" xfId="0" applyFont="1" applyFill="1" applyBorder="1" applyAlignment="1" applyProtection="1"/>
    <xf numFmtId="0" fontId="101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 applyFill="1"/>
    <xf numFmtId="0" fontId="116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101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2" fillId="0" borderId="0" xfId="0" applyFont="1" applyBorder="1" applyAlignment="1" applyProtection="1">
      <alignment horizontal="right" vertical="center"/>
    </xf>
    <xf numFmtId="0" fontId="124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7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134" fillId="0" borderId="39" xfId="0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169" fontId="101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Border="1" applyAlignment="1" applyProtection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 applyProtection="1">
      <alignment horizontal="center" vertical="center"/>
    </xf>
    <xf numFmtId="0" fontId="104" fillId="11" borderId="39" xfId="0" applyFont="1" applyFill="1" applyBorder="1" applyAlignment="1" applyProtection="1">
      <alignment horizontal="center" vertical="center"/>
    </xf>
    <xf numFmtId="0" fontId="109" fillId="21" borderId="0" xfId="0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wrapText="1" indent="4"/>
    </xf>
    <xf numFmtId="49" fontId="111" fillId="21" borderId="0" xfId="0" applyNumberFormat="1" applyFont="1" applyFill="1" applyBorder="1" applyAlignment="1" applyProtection="1">
      <alignment horizontal="left" vertical="top" wrapText="1" indent="4"/>
    </xf>
    <xf numFmtId="0" fontId="109" fillId="21" borderId="0" xfId="0" applyFont="1" applyFill="1" applyBorder="1" applyAlignment="1" applyProtection="1">
      <alignment horizontal="left" vertical="top" wrapText="1" indent="4" shrinkToFit="1" readingOrder="1"/>
    </xf>
    <xf numFmtId="0" fontId="110" fillId="21" borderId="0" xfId="0" applyFont="1" applyFill="1" applyBorder="1" applyAlignment="1">
      <alignment horizontal="left" wrapText="1" indent="4" readingOrder="1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4" fillId="21" borderId="47" xfId="0" applyFont="1" applyFill="1" applyBorder="1" applyAlignment="1" applyProtection="1">
      <alignment horizontal="center" vertical="center"/>
      <protection locked="0"/>
    </xf>
    <xf numFmtId="0" fontId="124" fillId="21" borderId="48" xfId="0" applyFont="1" applyFill="1" applyBorder="1" applyAlignment="1" applyProtection="1">
      <alignment horizontal="center" vertical="center"/>
      <protection locked="0"/>
    </xf>
    <xf numFmtId="0" fontId="124" fillId="21" borderId="49" xfId="0" applyFont="1" applyFill="1" applyBorder="1" applyAlignment="1" applyProtection="1">
      <alignment horizontal="center" vertical="center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>
      <alignment horizontal="center" vertical="center"/>
    </xf>
    <xf numFmtId="0" fontId="125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101" fillId="23" borderId="69" xfId="2" applyNumberFormat="1" applyFont="1" applyFill="1" applyBorder="1" applyAlignment="1" applyProtection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 applyProtection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5" fillId="11" borderId="2" xfId="0" applyFont="1" applyFill="1" applyBorder="1" applyAlignment="1" applyProtection="1">
      <alignment horizont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102" fillId="20" borderId="102" xfId="2" applyNumberFormat="1" applyFont="1" applyFill="1" applyBorder="1" applyAlignment="1" applyProtection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102" fillId="21" borderId="33" xfId="2" applyNumberFormat="1" applyFont="1" applyFill="1" applyBorder="1" applyAlignment="1" applyProtection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19" fillId="11" borderId="27" xfId="0" applyFont="1" applyFill="1" applyBorder="1" applyAlignment="1" applyProtection="1">
      <alignment horizontal="center" vertical="center" wrapText="1"/>
    </xf>
    <xf numFmtId="0" fontId="121" fillId="11" borderId="28" xfId="0" applyFont="1" applyFill="1" applyBorder="1" applyAlignment="1" applyProtection="1">
      <alignment horizontal="center" vertical="center" wrapText="1"/>
    </xf>
    <xf numFmtId="0" fontId="121" fillId="11" borderId="3" xfId="0" applyFont="1" applyFill="1" applyBorder="1" applyAlignment="1" applyProtection="1">
      <alignment horizontal="center" vertical="center" wrapText="1"/>
    </xf>
    <xf numFmtId="0" fontId="121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85" fillId="11" borderId="52" xfId="0" applyFont="1" applyFill="1" applyBorder="1" applyAlignment="1" applyProtection="1">
      <alignment horizontal="center" vertical="center" wrapText="1"/>
    </xf>
    <xf numFmtId="0" fontId="85" fillId="11" borderId="53" xfId="0" applyFont="1" applyFill="1" applyBorder="1" applyAlignment="1" applyProtection="1">
      <alignment horizontal="center" vertical="center" wrapText="1"/>
    </xf>
    <xf numFmtId="0" fontId="85" fillId="11" borderId="98" xfId="0" applyFont="1" applyFill="1" applyBorder="1" applyAlignment="1" applyProtection="1">
      <alignment horizontal="center" vertical="center" wrapText="1"/>
    </xf>
    <xf numFmtId="0" fontId="85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98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130" fillId="0" borderId="123" xfId="0" applyNumberFormat="1" applyFont="1" applyFill="1" applyBorder="1" applyAlignment="1" applyProtection="1">
      <alignment horizontal="center"/>
    </xf>
    <xf numFmtId="0" fontId="131" fillId="0" borderId="122" xfId="0" applyFont="1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8" fillId="11" borderId="27" xfId="0" applyFont="1" applyFill="1" applyBorder="1" applyAlignment="1" applyProtection="1">
      <alignment horizontal="center" wrapText="1" shrinkToFit="1"/>
    </xf>
    <xf numFmtId="0" fontId="128" fillId="11" borderId="28" xfId="0" applyFont="1" applyFill="1" applyBorder="1" applyAlignment="1" applyProtection="1">
      <alignment horizontal="center" wrapText="1" shrinkToFit="1"/>
    </xf>
    <xf numFmtId="0" fontId="128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46" fillId="6" borderId="0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101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32" fillId="0" borderId="48" xfId="0" applyFont="1" applyFill="1" applyBorder="1" applyAlignment="1" applyProtection="1">
      <alignment horizontal="left"/>
    </xf>
    <xf numFmtId="0" fontId="133" fillId="0" borderId="48" xfId="0" applyFont="1" applyBorder="1" applyAlignment="1">
      <alignment horizontal="left"/>
    </xf>
    <xf numFmtId="0" fontId="133" fillId="0" borderId="70" xfId="0" applyFont="1" applyBorder="1" applyAlignment="1">
      <alignment horizontal="left"/>
    </xf>
    <xf numFmtId="0" fontId="132" fillId="0" borderId="48" xfId="0" applyFont="1" applyBorder="1" applyAlignment="1" applyProtection="1">
      <alignment horizontal="right"/>
    </xf>
    <xf numFmtId="0" fontId="132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29" xfId="0" applyFont="1" applyFill="1" applyBorder="1" applyAlignment="1" applyProtection="1">
      <alignment horizontal="center" vertical="center" wrapText="1"/>
    </xf>
    <xf numFmtId="169" fontId="132" fillId="0" borderId="39" xfId="0" applyNumberFormat="1" applyFont="1" applyFill="1" applyBorder="1" applyAlignment="1" applyProtection="1">
      <alignment horizontal="center"/>
    </xf>
    <xf numFmtId="169" fontId="133" fillId="0" borderId="39" xfId="0" applyNumberFormat="1" applyFont="1" applyBorder="1" applyAlignment="1">
      <alignment horizontal="center"/>
    </xf>
    <xf numFmtId="0" fontId="108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2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FF6600"/>
      <color rgb="FFE8E8DF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pn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microsoft.com/office/2007/relationships/hdphoto" Target="../media/hdphoto5.wdp"/><Relationship Id="rId196" Type="http://schemas.openxmlformats.org/officeDocument/2006/relationships/image" Target="../media/image189.png"/><Relationship Id="rId200" Type="http://schemas.openxmlformats.org/officeDocument/2006/relationships/image" Target="../media/image192.pn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pn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jpg"/><Relationship Id="rId186" Type="http://schemas.openxmlformats.org/officeDocument/2006/relationships/image" Target="../media/image184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gif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openxmlformats.org/officeDocument/2006/relationships/image" Target="../media/image187.png"/><Relationship Id="rId197" Type="http://schemas.microsoft.com/office/2007/relationships/hdphoto" Target="../media/hdphoto8.wdp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openxmlformats.org/officeDocument/2006/relationships/image" Target="../media/image180.jpg"/><Relationship Id="rId187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g"/><Relationship Id="rId172" Type="http://schemas.openxmlformats.org/officeDocument/2006/relationships/image" Target="../media/image170.jpg"/><Relationship Id="rId193" Type="http://schemas.microsoft.com/office/2007/relationships/hdphoto" Target="../media/hdphoto6.wdp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g"/><Relationship Id="rId167" Type="http://schemas.openxmlformats.org/officeDocument/2006/relationships/image" Target="../media/image165.jpg"/><Relationship Id="rId188" Type="http://schemas.openxmlformats.org/officeDocument/2006/relationships/image" Target="../media/image185.pn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1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71.jpg"/><Relationship Id="rId194" Type="http://schemas.openxmlformats.org/officeDocument/2006/relationships/image" Target="../media/image188.png"/><Relationship Id="rId199" Type="http://schemas.openxmlformats.org/officeDocument/2006/relationships/image" Target="../media/image191.jp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g"/><Relationship Id="rId184" Type="http://schemas.openxmlformats.org/officeDocument/2006/relationships/image" Target="../media/image182.jpg"/><Relationship Id="rId189" Type="http://schemas.microsoft.com/office/2007/relationships/hdphoto" Target="../media/hdphoto4.wdp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jpe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microsoft.com/office/2007/relationships/hdphoto" Target="../media/hdphoto7.wdp"/><Relationship Id="rId190" Type="http://schemas.openxmlformats.org/officeDocument/2006/relationships/image" Target="../media/image186.pn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microsoft.com/office/2007/relationships/hdphoto" Target="../media/hdphoto2.wdp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png"/><Relationship Id="rId143" Type="http://schemas.openxmlformats.org/officeDocument/2006/relationships/image" Target="../media/image141.jpe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3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375</xdr:row>
      <xdr:rowOff>21049</xdr:rowOff>
    </xdr:from>
    <xdr:to>
      <xdr:col>21</xdr:col>
      <xdr:colOff>257175</xdr:colOff>
      <xdr:row>380</xdr:row>
      <xdr:rowOff>173259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30AB128-2E66-41D4-BD5C-56CEAF4C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364</xdr:row>
      <xdr:rowOff>144419</xdr:rowOff>
    </xdr:from>
    <xdr:to>
      <xdr:col>21</xdr:col>
      <xdr:colOff>266700</xdr:colOff>
      <xdr:row>369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A052F04-F113-4171-A270-801BE55D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26504</xdr:rowOff>
    </xdr:from>
    <xdr:to>
      <xdr:col>16</xdr:col>
      <xdr:colOff>156200</xdr:colOff>
      <xdr:row>554</xdr:row>
      <xdr:rowOff>58325</xdr:rowOff>
    </xdr:to>
    <xdr:pic>
      <xdr:nvPicPr>
        <xdr:cNvPr id="103252" name="Picture 43860">
          <a:extLst>
            <a:ext uri="{FF2B5EF4-FFF2-40B4-BE49-F238E27FC236}">
              <a16:creationId xmlns:a16="http://schemas.microsoft.com/office/drawing/2014/main" id="{00000000-0008-0000-0000-0000549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530</xdr:row>
      <xdr:rowOff>1</xdr:rowOff>
    </xdr:from>
    <xdr:to>
      <xdr:col>27</xdr:col>
      <xdr:colOff>295274</xdr:colOff>
      <xdr:row>535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164</xdr:row>
      <xdr:rowOff>28575</xdr:rowOff>
    </xdr:from>
    <xdr:to>
      <xdr:col>8</xdr:col>
      <xdr:colOff>471664</xdr:colOff>
      <xdr:row>166</xdr:row>
      <xdr:rowOff>123825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ABEE3EC2-D252-4B0C-AA88-20BB3079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164</xdr:row>
      <xdr:rowOff>38100</xdr:rowOff>
    </xdr:from>
    <xdr:to>
      <xdr:col>18</xdr:col>
      <xdr:colOff>462139</xdr:colOff>
      <xdr:row>166</xdr:row>
      <xdr:rowOff>133350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1989109-B91B-4562-911A-89ABBF1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29755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164</xdr:row>
      <xdr:rowOff>28575</xdr:rowOff>
    </xdr:from>
    <xdr:to>
      <xdr:col>23</xdr:col>
      <xdr:colOff>462139</xdr:colOff>
      <xdr:row>166</xdr:row>
      <xdr:rowOff>123825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B2492AD-7B27-47E0-9EF8-DD0C09B8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174</xdr:row>
      <xdr:rowOff>28575</xdr:rowOff>
    </xdr:from>
    <xdr:to>
      <xdr:col>3</xdr:col>
      <xdr:colOff>509764</xdr:colOff>
      <xdr:row>176</xdr:row>
      <xdr:rowOff>133350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CB403DC2-9F36-4132-A467-F9B8A5AE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74720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174</xdr:row>
      <xdr:rowOff>9525</xdr:rowOff>
    </xdr:from>
    <xdr:to>
      <xdr:col>18</xdr:col>
      <xdr:colOff>471664</xdr:colOff>
      <xdr:row>176</xdr:row>
      <xdr:rowOff>114300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73C1A6FB-30A4-4E5B-AB0D-11D51CF2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347281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218</xdr:row>
      <xdr:rowOff>9526</xdr:rowOff>
    </xdr:from>
    <xdr:to>
      <xdr:col>18</xdr:col>
      <xdr:colOff>342900</xdr:colOff>
      <xdr:row>219</xdr:row>
      <xdr:rowOff>146686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A8C6E3D4-2F9F-47C3-8357-8961CFA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2986326"/>
          <a:ext cx="285750" cy="30861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218</xdr:row>
      <xdr:rowOff>19050</xdr:rowOff>
    </xdr:from>
    <xdr:to>
      <xdr:col>3</xdr:col>
      <xdr:colOff>481189</xdr:colOff>
      <xdr:row>220</xdr:row>
      <xdr:rowOff>123825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D1E8971E-1709-4F9A-BF8B-1BC73A0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29958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207</xdr:row>
      <xdr:rowOff>47625</xdr:rowOff>
    </xdr:from>
    <xdr:to>
      <xdr:col>8</xdr:col>
      <xdr:colOff>490714</xdr:colOff>
      <xdr:row>209</xdr:row>
      <xdr:rowOff>142875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70966B-B212-4804-B9E8-84E36EF9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207</xdr:row>
      <xdr:rowOff>9526</xdr:rowOff>
    </xdr:from>
    <xdr:to>
      <xdr:col>18</xdr:col>
      <xdr:colOff>357011</xdr:colOff>
      <xdr:row>208</xdr:row>
      <xdr:rowOff>161926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266CDAEE-6197-46FA-8BE3-9672B3E9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1062276"/>
          <a:ext cx="299861" cy="323850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207</xdr:row>
      <xdr:rowOff>47625</xdr:rowOff>
    </xdr:from>
    <xdr:to>
      <xdr:col>23</xdr:col>
      <xdr:colOff>471664</xdr:colOff>
      <xdr:row>209</xdr:row>
      <xdr:rowOff>142875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7482A57-2DA6-47BD-969E-0FA9B4FF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364</xdr:row>
      <xdr:rowOff>28575</xdr:rowOff>
    </xdr:from>
    <xdr:to>
      <xdr:col>18</xdr:col>
      <xdr:colOff>457200</xdr:colOff>
      <xdr:row>366</xdr:row>
      <xdr:rowOff>78105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50CFE54C-6966-4880-96AC-E866A6B0F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1980425"/>
          <a:ext cx="381000" cy="41148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375</xdr:row>
      <xdr:rowOff>19050</xdr:rowOff>
    </xdr:from>
    <xdr:to>
      <xdr:col>18</xdr:col>
      <xdr:colOff>457200</xdr:colOff>
      <xdr:row>377</xdr:row>
      <xdr:rowOff>89154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3B4886C5-EA50-475F-AAD1-4FAF8F36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7417117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433</xdr:row>
      <xdr:rowOff>28575</xdr:rowOff>
    </xdr:from>
    <xdr:to>
      <xdr:col>18</xdr:col>
      <xdr:colOff>457200</xdr:colOff>
      <xdr:row>435</xdr:row>
      <xdr:rowOff>98679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39FABBF4-0F47-4B6B-8335-C20E8354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422</xdr:row>
      <xdr:rowOff>19050</xdr:rowOff>
    </xdr:from>
    <xdr:to>
      <xdr:col>23</xdr:col>
      <xdr:colOff>457200</xdr:colOff>
      <xdr:row>424</xdr:row>
      <xdr:rowOff>127254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432FABA-F8CC-44B3-9474-93671A52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837152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433</xdr:row>
      <xdr:rowOff>28575</xdr:rowOff>
    </xdr:from>
    <xdr:to>
      <xdr:col>23</xdr:col>
      <xdr:colOff>447675</xdr:colOff>
      <xdr:row>435</xdr:row>
      <xdr:rowOff>98679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310BE73A-83A6-4A72-A32C-64D8FC58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27455</xdr:colOff>
      <xdr:row>477</xdr:row>
      <xdr:rowOff>44264</xdr:rowOff>
    </xdr:from>
    <xdr:to>
      <xdr:col>6</xdr:col>
      <xdr:colOff>408407</xdr:colOff>
      <xdr:row>479</xdr:row>
      <xdr:rowOff>76153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EB99D103-D41E-4C4A-A072-15DB3415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80" y="95122814"/>
          <a:ext cx="380952" cy="384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61"/>
  <sheetViews>
    <sheetView showGridLines="0" zoomScaleNormal="100" zoomScaleSheetLayoutView="100" workbookViewId="0">
      <pane ySplit="1" topLeftCell="A425" activePane="bottomLeft" state="frozen"/>
      <selection pane="bottomLeft" activeCell="F454" sqref="F454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4.5546875" style="188" customWidth="1"/>
    <col min="11" max="11" width="5.33203125" style="188" customWidth="1"/>
    <col min="12" max="12" width="7.10937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404" customWidth="1"/>
    <col min="29" max="29" width="9.109375" style="206"/>
    <col min="30" max="16384" width="9.109375" style="189"/>
  </cols>
  <sheetData>
    <row r="1" spans="1:29" s="187" customFormat="1" ht="27" customHeight="1" x14ac:dyDescent="0.3">
      <c r="A1" s="573"/>
      <c r="B1" s="413"/>
      <c r="C1" s="653" t="s">
        <v>611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65" t="s">
        <v>498</v>
      </c>
      <c r="V1" s="1065"/>
      <c r="W1" s="1065"/>
      <c r="X1" s="1065"/>
      <c r="Y1" s="719">
        <f>Y554</f>
        <v>515.08999999999992</v>
      </c>
      <c r="Z1" s="719"/>
      <c r="AA1" s="719"/>
      <c r="AB1" s="468"/>
      <c r="AC1" s="425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499</v>
      </c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500</v>
      </c>
      <c r="V4" s="416"/>
      <c r="W4" s="414"/>
      <c r="X4" s="414"/>
      <c r="Y4" s="414"/>
      <c r="Z4" s="414"/>
      <c r="AA4" s="414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501</v>
      </c>
      <c r="V5" s="416"/>
      <c r="W5" s="414"/>
      <c r="X5" s="414"/>
      <c r="Y5" s="414"/>
      <c r="Z5" s="414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502</v>
      </c>
      <c r="V6" s="416"/>
      <c r="W6" s="414"/>
      <c r="X6" s="414"/>
      <c r="Y6" s="414"/>
      <c r="Z6" s="414"/>
      <c r="AA6" s="414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76"/>
      <c r="B11" s="254"/>
      <c r="C11" s="254"/>
      <c r="D11" s="823"/>
      <c r="E11" s="824"/>
      <c r="F11" s="824"/>
      <c r="G11" s="824"/>
      <c r="H11" s="824"/>
      <c r="I11" s="254"/>
      <c r="J11" s="822"/>
      <c r="K11" s="821"/>
      <c r="L11" s="821"/>
      <c r="M11" s="821"/>
      <c r="N11" s="821"/>
      <c r="O11" s="254"/>
      <c r="P11" s="254"/>
      <c r="Q11" s="825"/>
      <c r="R11" s="826"/>
      <c r="S11" s="826"/>
      <c r="T11" s="826"/>
      <c r="U11" s="826"/>
      <c r="V11" s="254"/>
      <c r="W11" s="820"/>
      <c r="X11" s="821"/>
      <c r="Y11" s="821"/>
      <c r="Z11" s="821"/>
      <c r="AA11" s="821"/>
      <c r="AB11" s="254"/>
    </row>
    <row r="12" spans="1:29" x14ac:dyDescent="0.25">
      <c r="A12" s="476"/>
      <c r="B12" s="254"/>
      <c r="C12" s="254"/>
      <c r="D12" s="824"/>
      <c r="E12" s="824"/>
      <c r="F12" s="824"/>
      <c r="G12" s="824"/>
      <c r="H12" s="824"/>
      <c r="I12" s="254"/>
      <c r="J12" s="821"/>
      <c r="K12" s="821"/>
      <c r="L12" s="821"/>
      <c r="M12" s="821"/>
      <c r="N12" s="821"/>
      <c r="O12" s="254"/>
      <c r="P12" s="254"/>
      <c r="Q12" s="826"/>
      <c r="R12" s="826"/>
      <c r="S12" s="826"/>
      <c r="T12" s="826"/>
      <c r="U12" s="826"/>
      <c r="V12" s="254"/>
      <c r="W12" s="821"/>
      <c r="X12" s="821"/>
      <c r="Y12" s="821"/>
      <c r="Z12" s="821"/>
      <c r="AA12" s="821"/>
      <c r="AB12" s="254"/>
    </row>
    <row r="13" spans="1:29" x14ac:dyDescent="0.25">
      <c r="A13" s="476"/>
      <c r="B13" s="254"/>
      <c r="C13" s="254"/>
      <c r="D13" s="824"/>
      <c r="E13" s="824"/>
      <c r="F13" s="824"/>
      <c r="G13" s="824"/>
      <c r="H13" s="824"/>
      <c r="I13" s="254"/>
      <c r="J13" s="821"/>
      <c r="K13" s="821"/>
      <c r="L13" s="821"/>
      <c r="M13" s="821"/>
      <c r="N13" s="821"/>
      <c r="O13" s="254"/>
      <c r="P13" s="254"/>
      <c r="Q13" s="826"/>
      <c r="R13" s="826"/>
      <c r="S13" s="826"/>
      <c r="T13" s="826"/>
      <c r="U13" s="826"/>
      <c r="V13" s="254"/>
      <c r="W13" s="821"/>
      <c r="X13" s="821"/>
      <c r="Y13" s="821"/>
      <c r="Z13" s="821"/>
      <c r="AA13" s="821"/>
      <c r="AB13" s="254"/>
    </row>
    <row r="14" spans="1:29" x14ac:dyDescent="0.25">
      <c r="A14" s="476"/>
      <c r="B14" s="254"/>
      <c r="C14" s="254"/>
      <c r="D14" s="824"/>
      <c r="E14" s="824"/>
      <c r="F14" s="824"/>
      <c r="G14" s="824"/>
      <c r="H14" s="824"/>
      <c r="I14" s="254"/>
      <c r="J14" s="821"/>
      <c r="K14" s="821"/>
      <c r="L14" s="821"/>
      <c r="M14" s="821"/>
      <c r="N14" s="821"/>
      <c r="O14" s="254"/>
      <c r="P14" s="254"/>
      <c r="Q14" s="826"/>
      <c r="R14" s="826"/>
      <c r="S14" s="826"/>
      <c r="T14" s="826"/>
      <c r="U14" s="826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77"/>
      <c r="B15" s="412"/>
      <c r="C15" s="412"/>
      <c r="D15" s="412"/>
      <c r="E15" s="412"/>
      <c r="F15" s="412"/>
      <c r="G15" s="412"/>
      <c r="H15" s="412"/>
      <c r="I15" s="412"/>
      <c r="J15" s="821"/>
      <c r="K15" s="821"/>
      <c r="L15" s="821"/>
      <c r="M15" s="821"/>
      <c r="N15" s="821"/>
      <c r="O15" s="412"/>
      <c r="P15" s="412"/>
      <c r="Q15" s="826"/>
      <c r="R15" s="826"/>
      <c r="S15" s="826"/>
      <c r="T15" s="826"/>
      <c r="U15" s="826"/>
      <c r="V15" s="412"/>
      <c r="W15" s="412"/>
      <c r="X15" s="412"/>
      <c r="Y15" s="412"/>
      <c r="Z15" s="412"/>
      <c r="AA15" s="412"/>
      <c r="AB15" s="412"/>
      <c r="AC15" s="426"/>
    </row>
    <row r="16" spans="1:29" ht="18" x14ac:dyDescent="0.25">
      <c r="A16" s="476"/>
      <c r="B16" s="410"/>
      <c r="C16" s="410"/>
      <c r="D16" s="1130"/>
      <c r="E16" s="1131"/>
      <c r="F16" s="1131"/>
      <c r="G16" s="1131"/>
      <c r="H16" s="1131"/>
      <c r="I16" s="411"/>
      <c r="J16" s="1130"/>
      <c r="K16" s="1131"/>
      <c r="L16" s="1131"/>
      <c r="M16" s="1131"/>
      <c r="N16" s="1131"/>
      <c r="O16" s="411"/>
      <c r="P16" s="411"/>
      <c r="Q16" s="1130"/>
      <c r="R16" s="1131"/>
      <c r="S16" s="1131"/>
      <c r="T16" s="1131"/>
      <c r="U16" s="1131"/>
      <c r="V16" s="411"/>
      <c r="W16" s="1130"/>
      <c r="X16" s="1131"/>
      <c r="Y16" s="1131"/>
      <c r="Z16" s="1131"/>
      <c r="AA16" s="1131"/>
      <c r="AB16" s="411"/>
    </row>
    <row r="17" spans="1:29" ht="5.0999999999999996" customHeight="1" x14ac:dyDescent="0.35">
      <c r="A17" s="476"/>
      <c r="B17" s="418"/>
      <c r="C17" s="418"/>
      <c r="D17" s="1131"/>
      <c r="E17" s="1131"/>
      <c r="F17" s="1131"/>
      <c r="G17" s="1131"/>
      <c r="H17" s="1131"/>
      <c r="I17" s="469"/>
      <c r="J17" s="1131"/>
      <c r="K17" s="1131"/>
      <c r="L17" s="1131"/>
      <c r="M17" s="1131"/>
      <c r="N17" s="1131"/>
      <c r="O17" s="469"/>
      <c r="P17" s="469"/>
      <c r="Q17" s="1131"/>
      <c r="R17" s="1131"/>
      <c r="S17" s="1131"/>
      <c r="T17" s="1131"/>
      <c r="U17" s="1131"/>
      <c r="V17" s="469"/>
      <c r="W17" s="1131"/>
      <c r="X17" s="1131"/>
      <c r="Y17" s="1131"/>
      <c r="Z17" s="1131"/>
      <c r="AA17" s="1131"/>
      <c r="AB17" s="418"/>
    </row>
    <row r="18" spans="1:29" ht="34.950000000000003" customHeight="1" x14ac:dyDescent="0.25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77"/>
      <c r="B19" s="412"/>
      <c r="C19" s="268"/>
      <c r="D19" s="849" t="s">
        <v>16</v>
      </c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O19" s="849"/>
      <c r="P19" s="849"/>
      <c r="Q19" s="849"/>
      <c r="R19" s="849"/>
      <c r="S19" s="849"/>
      <c r="T19" s="849"/>
      <c r="U19" s="849"/>
      <c r="V19" s="849"/>
      <c r="W19" s="849"/>
      <c r="X19" s="849"/>
      <c r="Y19" s="849"/>
      <c r="Z19" s="849"/>
      <c r="AA19" s="849"/>
      <c r="AB19" s="412"/>
      <c r="AC19" s="426"/>
    </row>
    <row r="20" spans="1:29" ht="27" customHeight="1" x14ac:dyDescent="0.25">
      <c r="A20" s="476"/>
      <c r="B20" s="1058" t="s">
        <v>230</v>
      </c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58"/>
      <c r="O20" s="1058"/>
      <c r="P20" s="1058"/>
      <c r="Q20" s="1058"/>
      <c r="R20" s="1058"/>
      <c r="S20" s="1058"/>
      <c r="T20" s="1058"/>
      <c r="U20" s="1058"/>
      <c r="V20" s="1058"/>
      <c r="W20" s="1058"/>
      <c r="X20" s="1058"/>
      <c r="Y20" s="1058"/>
      <c r="Z20" s="1058"/>
      <c r="AA20" s="1058"/>
      <c r="AB20" s="1058"/>
    </row>
    <row r="21" spans="1:29" ht="27" customHeight="1" x14ac:dyDescent="0.25">
      <c r="A21" s="476"/>
      <c r="B21" s="254"/>
      <c r="C21" s="254"/>
      <c r="D21" s="1133" t="s">
        <v>377</v>
      </c>
      <c r="E21" s="1134"/>
      <c r="F21" s="1134"/>
      <c r="G21" s="1134"/>
      <c r="H21" s="1134"/>
      <c r="I21" s="1134"/>
      <c r="J21" s="1134"/>
      <c r="K21" s="1134"/>
      <c r="L21" s="1134"/>
      <c r="M21" s="1134"/>
      <c r="N21" s="1134"/>
      <c r="O21" s="1135"/>
      <c r="P21" s="270"/>
      <c r="Q21" s="270"/>
      <c r="R21" s="271"/>
      <c r="S21" s="271"/>
      <c r="T21" s="1070"/>
      <c r="U21" s="1070"/>
      <c r="V21" s="1070"/>
      <c r="W21" s="1070"/>
      <c r="X21" s="1070"/>
      <c r="Y21" s="1070"/>
      <c r="Z21" s="1070"/>
      <c r="AA21" s="1070"/>
      <c r="AB21" s="254"/>
    </row>
    <row r="22" spans="1:29" s="500" customFormat="1" ht="16.95" customHeight="1" x14ac:dyDescent="0.25">
      <c r="A22" s="496"/>
      <c r="B22" s="497"/>
      <c r="C22" s="497"/>
      <c r="D22" s="1146" t="s">
        <v>221</v>
      </c>
      <c r="E22" s="1147"/>
      <c r="F22" s="1148"/>
      <c r="G22" s="1076"/>
      <c r="H22" s="1076"/>
      <c r="I22" s="1046" t="s">
        <v>652</v>
      </c>
      <c r="J22" s="1046"/>
      <c r="K22" s="1047"/>
      <c r="L22" s="1095">
        <v>7.95</v>
      </c>
      <c r="M22" s="1096"/>
      <c r="N22" s="1138">
        <v>0</v>
      </c>
      <c r="O22" s="1139"/>
      <c r="P22" s="498"/>
      <c r="Q22" s="498"/>
      <c r="R22" s="1067"/>
      <c r="S22" s="1067"/>
      <c r="T22" s="1081"/>
      <c r="U22" s="1081"/>
      <c r="V22" s="1081"/>
      <c r="W22" s="1081"/>
      <c r="X22" s="1071"/>
      <c r="Y22" s="1071"/>
      <c r="Z22" s="1071"/>
      <c r="AA22" s="1071"/>
      <c r="AB22" s="497"/>
      <c r="AC22" s="499"/>
    </row>
    <row r="23" spans="1:29" s="500" customFormat="1" ht="16.95" customHeight="1" x14ac:dyDescent="0.25">
      <c r="A23" s="496"/>
      <c r="B23" s="497"/>
      <c r="C23" s="497"/>
      <c r="D23" s="1072" t="s">
        <v>445</v>
      </c>
      <c r="E23" s="1073"/>
      <c r="F23" s="1074"/>
      <c r="G23" s="1078"/>
      <c r="H23" s="1079"/>
      <c r="I23" s="1046" t="s">
        <v>653</v>
      </c>
      <c r="J23" s="1046"/>
      <c r="K23" s="1047"/>
      <c r="L23" s="1095">
        <v>7.95</v>
      </c>
      <c r="M23" s="1096"/>
      <c r="N23" s="1140">
        <v>0</v>
      </c>
      <c r="O23" s="1141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95" customHeight="1" x14ac:dyDescent="0.25">
      <c r="A24" s="496"/>
      <c r="B24" s="504"/>
      <c r="C24" s="504"/>
      <c r="D24" s="1072" t="s">
        <v>222</v>
      </c>
      <c r="E24" s="1075"/>
      <c r="F24" s="1074"/>
      <c r="G24" s="1077"/>
      <c r="H24" s="1077"/>
      <c r="I24" s="1046" t="s">
        <v>654</v>
      </c>
      <c r="J24" s="1046"/>
      <c r="K24" s="1047"/>
      <c r="L24" s="1095">
        <v>7.95</v>
      </c>
      <c r="M24" s="1096"/>
      <c r="N24" s="1142">
        <v>16</v>
      </c>
      <c r="O24" s="1143"/>
      <c r="P24" s="498"/>
      <c r="Q24" s="498"/>
      <c r="R24" s="1067"/>
      <c r="S24" s="1067"/>
      <c r="T24" s="1062"/>
      <c r="U24" s="1062"/>
      <c r="V24" s="1062"/>
      <c r="W24" s="1062"/>
      <c r="X24" s="1057"/>
      <c r="Y24" s="1057"/>
      <c r="Z24" s="1057"/>
      <c r="AA24" s="1057"/>
      <c r="AB24" s="497"/>
      <c r="AC24" s="499"/>
    </row>
    <row r="25" spans="1:29" s="500" customFormat="1" ht="16.95" customHeight="1" x14ac:dyDescent="0.25">
      <c r="A25" s="496"/>
      <c r="B25" s="497"/>
      <c r="C25" s="497"/>
      <c r="D25" s="1072" t="s">
        <v>223</v>
      </c>
      <c r="E25" s="1075"/>
      <c r="F25" s="1074"/>
      <c r="G25" s="1080"/>
      <c r="H25" s="1080"/>
      <c r="I25" s="1046" t="s">
        <v>655</v>
      </c>
      <c r="J25" s="1046"/>
      <c r="K25" s="1047"/>
      <c r="L25" s="1095">
        <v>7.95</v>
      </c>
      <c r="M25" s="1096"/>
      <c r="N25" s="1142">
        <v>0</v>
      </c>
      <c r="O25" s="1143"/>
      <c r="P25" s="498"/>
      <c r="Q25" s="498"/>
      <c r="R25" s="1067"/>
      <c r="S25" s="1067"/>
      <c r="T25" s="1062"/>
      <c r="U25" s="1062"/>
      <c r="V25" s="1062"/>
      <c r="W25" s="1062"/>
      <c r="X25" s="1057"/>
      <c r="Y25" s="1057"/>
      <c r="Z25" s="1057"/>
      <c r="AA25" s="1057"/>
      <c r="AB25" s="497"/>
      <c r="AC25" s="499"/>
    </row>
    <row r="26" spans="1:29" s="500" customFormat="1" ht="16.95" customHeight="1" x14ac:dyDescent="0.25">
      <c r="A26" s="496"/>
      <c r="B26" s="497"/>
      <c r="C26" s="497"/>
      <c r="D26" s="1072" t="s">
        <v>225</v>
      </c>
      <c r="E26" s="1075"/>
      <c r="F26" s="1074"/>
      <c r="G26" s="1102"/>
      <c r="H26" s="1102"/>
      <c r="I26" s="1046" t="s">
        <v>656</v>
      </c>
      <c r="J26" s="1046"/>
      <c r="K26" s="1047"/>
      <c r="L26" s="1095">
        <v>7.95</v>
      </c>
      <c r="M26" s="1096"/>
      <c r="N26" s="1142">
        <v>0</v>
      </c>
      <c r="O26" s="1143"/>
      <c r="P26" s="498"/>
      <c r="Q26" s="498"/>
      <c r="R26" s="1067"/>
      <c r="S26" s="1067"/>
      <c r="T26" s="1062"/>
      <c r="U26" s="1062"/>
      <c r="V26" s="1062"/>
      <c r="W26" s="1062"/>
      <c r="X26" s="1057"/>
      <c r="Y26" s="1057"/>
      <c r="Z26" s="1057"/>
      <c r="AA26" s="1057"/>
      <c r="AB26" s="497"/>
      <c r="AC26" s="499"/>
    </row>
    <row r="27" spans="1:29" s="500" customFormat="1" ht="16.95" customHeight="1" x14ac:dyDescent="0.25">
      <c r="A27" s="496"/>
      <c r="B27" s="497"/>
      <c r="C27" s="497"/>
      <c r="D27" s="1072" t="s">
        <v>242</v>
      </c>
      <c r="E27" s="1075"/>
      <c r="F27" s="1074"/>
      <c r="G27" s="1103"/>
      <c r="H27" s="1079"/>
      <c r="I27" s="1046" t="s">
        <v>657</v>
      </c>
      <c r="J27" s="1046"/>
      <c r="K27" s="1047"/>
      <c r="L27" s="1095">
        <v>7.95</v>
      </c>
      <c r="M27" s="1096"/>
      <c r="N27" s="1144">
        <v>0</v>
      </c>
      <c r="O27" s="1145"/>
      <c r="P27" s="498"/>
      <c r="Q27" s="498"/>
      <c r="R27" s="501"/>
      <c r="S27" s="501"/>
      <c r="T27" s="1062"/>
      <c r="U27" s="1062"/>
      <c r="V27" s="1062"/>
      <c r="W27" s="1062"/>
      <c r="X27" s="1057"/>
      <c r="Y27" s="1057"/>
      <c r="Z27" s="1057"/>
      <c r="AA27" s="1057"/>
      <c r="AB27" s="497"/>
      <c r="AC27" s="499"/>
    </row>
    <row r="28" spans="1:29" s="500" customFormat="1" ht="16.95" customHeight="1" x14ac:dyDescent="0.25">
      <c r="A28" s="496"/>
      <c r="B28" s="497"/>
      <c r="C28" s="497"/>
      <c r="D28" s="1072" t="s">
        <v>224</v>
      </c>
      <c r="E28" s="1075"/>
      <c r="F28" s="1074"/>
      <c r="G28" s="1109"/>
      <c r="H28" s="1109"/>
      <c r="I28" s="1046" t="s">
        <v>928</v>
      </c>
      <c r="J28" s="1046"/>
      <c r="K28" s="1047"/>
      <c r="L28" s="1095">
        <v>7.95</v>
      </c>
      <c r="M28" s="1096"/>
      <c r="N28" s="1142">
        <v>0</v>
      </c>
      <c r="O28" s="1143"/>
      <c r="P28" s="498"/>
      <c r="Q28" s="498"/>
      <c r="R28" s="987"/>
      <c r="S28" s="987"/>
      <c r="T28" s="1062"/>
      <c r="U28" s="1062"/>
      <c r="V28" s="1062"/>
      <c r="W28" s="1062"/>
      <c r="X28" s="1062"/>
      <c r="Y28" s="1062"/>
      <c r="Z28" s="1062"/>
      <c r="AA28" s="1062"/>
      <c r="AB28" s="497"/>
      <c r="AC28" s="499"/>
    </row>
    <row r="29" spans="1:29" s="500" customFormat="1" ht="16.95" customHeight="1" x14ac:dyDescent="0.25">
      <c r="A29" s="496"/>
      <c r="B29" s="497"/>
      <c r="C29" s="497"/>
      <c r="D29" s="1072" t="s">
        <v>416</v>
      </c>
      <c r="E29" s="1075"/>
      <c r="F29" s="1074"/>
      <c r="G29" s="1110"/>
      <c r="H29" s="1110"/>
      <c r="I29" s="1100" t="s">
        <v>929</v>
      </c>
      <c r="J29" s="1100"/>
      <c r="K29" s="1101"/>
      <c r="L29" s="1095">
        <v>9.9499999999999993</v>
      </c>
      <c r="M29" s="1096"/>
      <c r="N29" s="1142">
        <v>0</v>
      </c>
      <c r="O29" s="1143"/>
      <c r="P29" s="498"/>
      <c r="Q29" s="498"/>
      <c r="R29" s="505"/>
      <c r="S29" s="505"/>
      <c r="T29" s="986"/>
      <c r="U29" s="986"/>
      <c r="V29" s="986"/>
      <c r="W29" s="986"/>
      <c r="X29" s="986"/>
      <c r="Y29" s="986"/>
      <c r="Z29" s="986"/>
      <c r="AA29" s="986"/>
      <c r="AB29" s="497"/>
      <c r="AC29" s="499"/>
    </row>
    <row r="30" spans="1:29" s="500" customFormat="1" ht="16.95" customHeight="1" thickBot="1" x14ac:dyDescent="0.3">
      <c r="A30" s="496"/>
      <c r="B30" s="497"/>
      <c r="C30" s="497"/>
      <c r="D30" s="1097" t="s">
        <v>437</v>
      </c>
      <c r="E30" s="1098"/>
      <c r="F30" s="1099"/>
      <c r="G30" s="1111"/>
      <c r="H30" s="1079"/>
      <c r="I30" s="1046" t="s">
        <v>930</v>
      </c>
      <c r="J30" s="1046"/>
      <c r="K30" s="1047"/>
      <c r="L30" s="1136">
        <v>12.75</v>
      </c>
      <c r="M30" s="1137"/>
      <c r="N30" s="1142">
        <v>0</v>
      </c>
      <c r="O30" s="1143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95" customHeight="1" x14ac:dyDescent="0.3">
      <c r="A31" s="476"/>
      <c r="B31" s="254"/>
      <c r="C31" s="254"/>
      <c r="D31" s="996"/>
      <c r="E31" s="997"/>
      <c r="F31" s="1128">
        <f>K31*L22</f>
        <v>63.6</v>
      </c>
      <c r="G31" s="1129"/>
      <c r="H31" s="1129"/>
      <c r="I31" s="1107" t="s">
        <v>518</v>
      </c>
      <c r="J31" s="1108"/>
      <c r="K31" s="704">
        <v>8</v>
      </c>
      <c r="L31" s="1104" t="s">
        <v>517</v>
      </c>
      <c r="M31" s="1105"/>
      <c r="N31" s="1105"/>
      <c r="O31" s="1106"/>
      <c r="P31" s="270"/>
      <c r="Q31" s="270"/>
      <c r="R31" s="272"/>
      <c r="S31" s="272"/>
      <c r="T31" s="1066"/>
      <c r="U31" s="1066"/>
      <c r="V31" s="1066"/>
      <c r="W31" s="1066"/>
      <c r="X31" s="1066"/>
      <c r="Y31" s="1066"/>
      <c r="Z31" s="1066"/>
      <c r="AA31" s="1066"/>
      <c r="AB31" s="254"/>
    </row>
    <row r="32" spans="1:29" s="188" customFormat="1" ht="27" customHeight="1" x14ac:dyDescent="0.25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 x14ac:dyDescent="0.35">
      <c r="A33" s="478"/>
      <c r="B33" s="412"/>
      <c r="C33" s="412"/>
      <c r="D33" s="849" t="s">
        <v>297</v>
      </c>
      <c r="E33" s="849"/>
      <c r="F33" s="849"/>
      <c r="G33" s="849"/>
      <c r="H33" s="849"/>
      <c r="I33" s="849"/>
      <c r="J33" s="849"/>
      <c r="K33" s="849"/>
      <c r="L33" s="849"/>
      <c r="M33" s="849"/>
      <c r="N33" s="849"/>
      <c r="O33" s="849"/>
      <c r="P33" s="849"/>
      <c r="Q33" s="849"/>
      <c r="R33" s="849"/>
      <c r="S33" s="849"/>
      <c r="T33" s="849"/>
      <c r="U33" s="849"/>
      <c r="V33" s="849"/>
      <c r="W33" s="849"/>
      <c r="X33" s="849"/>
      <c r="Y33" s="849"/>
      <c r="Z33" s="849"/>
      <c r="AA33" s="849"/>
      <c r="AB33" s="412"/>
    </row>
    <row r="34" spans="1:34" ht="27" customHeight="1" x14ac:dyDescent="0.25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3.8" x14ac:dyDescent="0.25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3.8" x14ac:dyDescent="0.25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3.8" x14ac:dyDescent="0.2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3.8" x14ac:dyDescent="0.2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3.8" x14ac:dyDescent="0.2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 x14ac:dyDescent="0.25">
      <c r="A40" s="476"/>
      <c r="B40" s="254"/>
      <c r="C40" s="254"/>
      <c r="D40" s="1059" t="s">
        <v>172</v>
      </c>
      <c r="E40" s="1060"/>
      <c r="F40" s="1060"/>
      <c r="G40" s="1061"/>
      <c r="H40" s="293"/>
      <c r="I40" s="1059" t="s">
        <v>173</v>
      </c>
      <c r="J40" s="1060"/>
      <c r="K40" s="1060"/>
      <c r="L40" s="1061"/>
      <c r="M40" s="293"/>
      <c r="N40" s="1059" t="s">
        <v>174</v>
      </c>
      <c r="O40" s="1060"/>
      <c r="P40" s="1060"/>
      <c r="Q40" s="1061"/>
      <c r="R40" s="293"/>
      <c r="S40" s="1059" t="s">
        <v>175</v>
      </c>
      <c r="T40" s="1060"/>
      <c r="U40" s="1060"/>
      <c r="V40" s="1061"/>
      <c r="W40" s="293"/>
      <c r="X40" s="1059" t="s">
        <v>176</v>
      </c>
      <c r="Y40" s="1060"/>
      <c r="Z40" s="1060"/>
      <c r="AA40" s="1061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 x14ac:dyDescent="0.25">
      <c r="A41" s="479"/>
      <c r="B41" s="262"/>
      <c r="C41" s="262"/>
      <c r="D41" s="737" t="s">
        <v>296</v>
      </c>
      <c r="E41" s="738"/>
      <c r="F41" s="738"/>
      <c r="G41" s="767"/>
      <c r="H41" s="308"/>
      <c r="I41" s="737" t="s">
        <v>164</v>
      </c>
      <c r="J41" s="738"/>
      <c r="K41" s="738"/>
      <c r="L41" s="767"/>
      <c r="M41" s="308"/>
      <c r="N41" s="737" t="s">
        <v>170</v>
      </c>
      <c r="O41" s="738"/>
      <c r="P41" s="738"/>
      <c r="Q41" s="767"/>
      <c r="R41" s="308"/>
      <c r="S41" s="737" t="s">
        <v>169</v>
      </c>
      <c r="T41" s="738"/>
      <c r="U41" s="738"/>
      <c r="V41" s="767"/>
      <c r="W41" s="308"/>
      <c r="X41" s="737" t="s">
        <v>17</v>
      </c>
      <c r="Y41" s="738"/>
      <c r="Z41" s="738"/>
      <c r="AA41" s="767"/>
      <c r="AB41" s="420"/>
      <c r="AC41" s="406"/>
      <c r="AD41" s="194"/>
      <c r="AE41" s="194"/>
      <c r="AF41" s="194"/>
      <c r="AG41" s="194"/>
      <c r="AH41" s="194"/>
    </row>
    <row r="42" spans="1:34" ht="16.2" customHeight="1" x14ac:dyDescent="0.25">
      <c r="A42" s="476"/>
      <c r="B42" s="254"/>
      <c r="C42" s="254"/>
      <c r="D42" s="1063">
        <v>22</v>
      </c>
      <c r="E42" s="1064"/>
      <c r="F42" s="1068">
        <v>0</v>
      </c>
      <c r="G42" s="1069"/>
      <c r="H42" s="293"/>
      <c r="I42" s="1063">
        <v>1.55</v>
      </c>
      <c r="J42" s="1064"/>
      <c r="K42" s="998">
        <v>0</v>
      </c>
      <c r="L42" s="999"/>
      <c r="M42" s="293"/>
      <c r="N42" s="1063">
        <v>1.9</v>
      </c>
      <c r="O42" s="1064"/>
      <c r="P42" s="998">
        <v>0</v>
      </c>
      <c r="Q42" s="999"/>
      <c r="R42" s="293"/>
      <c r="S42" s="1093">
        <v>1.7</v>
      </c>
      <c r="T42" s="1094"/>
      <c r="U42" s="1068">
        <v>0</v>
      </c>
      <c r="V42" s="1069"/>
      <c r="W42" s="293"/>
      <c r="X42" s="1093">
        <v>3</v>
      </c>
      <c r="Y42" s="1094"/>
      <c r="Z42" s="1068">
        <v>0</v>
      </c>
      <c r="AA42" s="1069"/>
      <c r="AB42" s="421"/>
      <c r="AC42" s="404"/>
      <c r="AD42" s="192"/>
      <c r="AE42" s="192"/>
      <c r="AF42" s="192"/>
      <c r="AG42" s="192"/>
      <c r="AH42" s="192"/>
    </row>
    <row r="43" spans="1:34" s="500" customFormat="1" ht="16.2" customHeight="1" x14ac:dyDescent="0.25">
      <c r="A43" s="496"/>
      <c r="B43" s="497"/>
      <c r="C43" s="497"/>
      <c r="D43" s="635">
        <f>G43*D42</f>
        <v>132</v>
      </c>
      <c r="E43" s="596"/>
      <c r="F43" s="597" t="s">
        <v>295</v>
      </c>
      <c r="G43" s="598">
        <v>6</v>
      </c>
      <c r="H43" s="577"/>
      <c r="I43" s="635">
        <f>I42*L43</f>
        <v>46.5</v>
      </c>
      <c r="J43" s="596"/>
      <c r="K43" s="597" t="s">
        <v>295</v>
      </c>
      <c r="L43" s="598">
        <v>30</v>
      </c>
      <c r="M43" s="577"/>
      <c r="N43" s="636">
        <f>Q43*N42</f>
        <v>57</v>
      </c>
      <c r="O43" s="618"/>
      <c r="P43" s="619" t="s">
        <v>295</v>
      </c>
      <c r="Q43" s="620">
        <v>30</v>
      </c>
      <c r="R43" s="577"/>
      <c r="S43" s="635">
        <f>V43*S42</f>
        <v>42.5</v>
      </c>
      <c r="T43" s="596"/>
      <c r="U43" s="597" t="s">
        <v>295</v>
      </c>
      <c r="V43" s="611">
        <v>25</v>
      </c>
      <c r="W43" s="577"/>
      <c r="X43" s="635">
        <f>AA43*X42</f>
        <v>120</v>
      </c>
      <c r="Y43" s="596"/>
      <c r="Z43" s="597" t="s">
        <v>295</v>
      </c>
      <c r="AA43" s="598">
        <v>40</v>
      </c>
      <c r="AB43" s="621"/>
      <c r="AC43" s="616"/>
      <c r="AD43" s="617"/>
      <c r="AE43" s="617"/>
      <c r="AF43" s="617"/>
      <c r="AG43" s="617"/>
      <c r="AH43" s="617"/>
    </row>
    <row r="44" spans="1:34" ht="10.199999999999999" customHeight="1" x14ac:dyDescent="0.25">
      <c r="A44" s="476"/>
      <c r="B44" s="254"/>
      <c r="C44" s="254"/>
      <c r="D44" s="973"/>
      <c r="E44" s="973"/>
      <c r="F44" s="973"/>
      <c r="G44" s="973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 x14ac:dyDescent="0.25">
      <c r="A45" s="476"/>
      <c r="B45" s="254"/>
      <c r="C45" s="254"/>
      <c r="D45" s="360"/>
      <c r="E45" s="361"/>
      <c r="F45" s="361"/>
      <c r="G45" s="362"/>
      <c r="H45" s="293"/>
      <c r="I45" s="1048"/>
      <c r="J45" s="1049"/>
      <c r="K45" s="1049"/>
      <c r="L45" s="1050"/>
      <c r="M45" s="293"/>
      <c r="N45" s="1048"/>
      <c r="O45" s="1049"/>
      <c r="P45" s="1049"/>
      <c r="Q45" s="1050"/>
      <c r="R45" s="293"/>
      <c r="S45" s="1082"/>
      <c r="T45" s="1083"/>
      <c r="U45" s="1083"/>
      <c r="V45" s="1084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3.8" x14ac:dyDescent="0.25">
      <c r="A46" s="476"/>
      <c r="B46" s="254"/>
      <c r="C46" s="254"/>
      <c r="D46" s="363"/>
      <c r="E46" s="364"/>
      <c r="F46" s="364"/>
      <c r="G46" s="365"/>
      <c r="H46" s="293"/>
      <c r="I46" s="1051"/>
      <c r="J46" s="1052"/>
      <c r="K46" s="1052"/>
      <c r="L46" s="1053"/>
      <c r="M46" s="293"/>
      <c r="N46" s="1051"/>
      <c r="O46" s="1052"/>
      <c r="P46" s="1052"/>
      <c r="Q46" s="1053"/>
      <c r="R46" s="293"/>
      <c r="S46" s="1085"/>
      <c r="T46" s="1086"/>
      <c r="U46" s="1086"/>
      <c r="V46" s="1087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3.8" x14ac:dyDescent="0.25">
      <c r="A47" s="476"/>
      <c r="B47" s="254"/>
      <c r="C47" s="254"/>
      <c r="D47" s="363"/>
      <c r="E47" s="364"/>
      <c r="F47" s="364"/>
      <c r="G47" s="365"/>
      <c r="H47" s="293"/>
      <c r="I47" s="1051"/>
      <c r="J47" s="1052"/>
      <c r="K47" s="1052"/>
      <c r="L47" s="1053"/>
      <c r="M47" s="293"/>
      <c r="N47" s="1051"/>
      <c r="O47" s="1052"/>
      <c r="P47" s="1052"/>
      <c r="Q47" s="1053"/>
      <c r="R47" s="293"/>
      <c r="S47" s="1085"/>
      <c r="T47" s="1086"/>
      <c r="U47" s="1086"/>
      <c r="V47" s="1087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3.8" x14ac:dyDescent="0.25">
      <c r="A48" s="476"/>
      <c r="B48" s="254"/>
      <c r="C48" s="254"/>
      <c r="D48" s="363"/>
      <c r="E48" s="364"/>
      <c r="F48" s="364"/>
      <c r="G48" s="365"/>
      <c r="H48" s="293"/>
      <c r="I48" s="1051"/>
      <c r="J48" s="1052"/>
      <c r="K48" s="1052"/>
      <c r="L48" s="1053"/>
      <c r="M48" s="293"/>
      <c r="N48" s="1051"/>
      <c r="O48" s="1052"/>
      <c r="P48" s="1052"/>
      <c r="Q48" s="1053"/>
      <c r="R48" s="293"/>
      <c r="S48" s="1085"/>
      <c r="T48" s="1086"/>
      <c r="U48" s="1086"/>
      <c r="V48" s="1087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3.8" x14ac:dyDescent="0.25">
      <c r="A49" s="476"/>
      <c r="B49" s="254"/>
      <c r="C49" s="254"/>
      <c r="D49" s="373"/>
      <c r="E49" s="374"/>
      <c r="F49" s="374"/>
      <c r="G49" s="375"/>
      <c r="H49" s="293"/>
      <c r="I49" s="1054"/>
      <c r="J49" s="1055"/>
      <c r="K49" s="1055"/>
      <c r="L49" s="1056"/>
      <c r="M49" s="293"/>
      <c r="N49" s="1054"/>
      <c r="O49" s="1055"/>
      <c r="P49" s="1055"/>
      <c r="Q49" s="1056"/>
      <c r="R49" s="293"/>
      <c r="S49" s="1088"/>
      <c r="T49" s="1089"/>
      <c r="U49" s="1089"/>
      <c r="V49" s="1090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 x14ac:dyDescent="0.25">
      <c r="A50" s="476"/>
      <c r="B50" s="254"/>
      <c r="C50" s="254"/>
      <c r="D50" s="1059" t="s">
        <v>177</v>
      </c>
      <c r="E50" s="1060"/>
      <c r="F50" s="1060"/>
      <c r="G50" s="1061"/>
      <c r="H50" s="293"/>
      <c r="I50" s="1059" t="s">
        <v>448</v>
      </c>
      <c r="J50" s="1060"/>
      <c r="K50" s="1060"/>
      <c r="L50" s="1061"/>
      <c r="M50" s="293"/>
      <c r="N50" s="1059" t="s">
        <v>178</v>
      </c>
      <c r="O50" s="1060"/>
      <c r="P50" s="1060"/>
      <c r="Q50" s="1061"/>
      <c r="R50" s="293"/>
      <c r="S50" s="1059" t="s">
        <v>449</v>
      </c>
      <c r="T50" s="1060"/>
      <c r="U50" s="1060"/>
      <c r="V50" s="1061"/>
      <c r="W50" s="293"/>
      <c r="X50" s="1059" t="s">
        <v>179</v>
      </c>
      <c r="Y50" s="1060"/>
      <c r="Z50" s="1060"/>
      <c r="AA50" s="1061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 x14ac:dyDescent="0.25">
      <c r="A51" s="479"/>
      <c r="B51" s="262"/>
      <c r="C51" s="262"/>
      <c r="D51" s="737" t="s">
        <v>285</v>
      </c>
      <c r="E51" s="738"/>
      <c r="F51" s="738"/>
      <c r="G51" s="767"/>
      <c r="H51" s="308"/>
      <c r="I51" s="1038" t="s">
        <v>658</v>
      </c>
      <c r="J51" s="1039"/>
      <c r="K51" s="1039"/>
      <c r="L51" s="1040"/>
      <c r="M51" s="308"/>
      <c r="N51" s="1038" t="s">
        <v>659</v>
      </c>
      <c r="O51" s="1039"/>
      <c r="P51" s="1039"/>
      <c r="Q51" s="1040"/>
      <c r="R51" s="308"/>
      <c r="S51" s="1038" t="s">
        <v>634</v>
      </c>
      <c r="T51" s="1039"/>
      <c r="U51" s="1039"/>
      <c r="V51" s="1040"/>
      <c r="W51" s="308"/>
      <c r="X51" s="737" t="s">
        <v>635</v>
      </c>
      <c r="Y51" s="738"/>
      <c r="Z51" s="738"/>
      <c r="AA51" s="767"/>
      <c r="AB51" s="420"/>
      <c r="AC51" s="406"/>
      <c r="AD51" s="194"/>
      <c r="AE51" s="194"/>
      <c r="AF51" s="194"/>
      <c r="AG51" s="194"/>
      <c r="AH51" s="194"/>
    </row>
    <row r="52" spans="1:34" ht="16.2" customHeight="1" x14ac:dyDescent="0.25">
      <c r="A52" s="476"/>
      <c r="B52" s="254"/>
      <c r="C52" s="254"/>
      <c r="D52" s="1091">
        <v>3</v>
      </c>
      <c r="E52" s="1092"/>
      <c r="F52" s="998">
        <v>0</v>
      </c>
      <c r="G52" s="999"/>
      <c r="H52" s="293"/>
      <c r="I52" s="1063">
        <v>3.5</v>
      </c>
      <c r="J52" s="1064"/>
      <c r="K52" s="998">
        <v>0</v>
      </c>
      <c r="L52" s="999"/>
      <c r="M52" s="293"/>
      <c r="N52" s="1063">
        <v>1.3</v>
      </c>
      <c r="O52" s="1064"/>
      <c r="P52" s="998">
        <v>0</v>
      </c>
      <c r="Q52" s="999"/>
      <c r="R52" s="293"/>
      <c r="S52" s="1063">
        <v>18</v>
      </c>
      <c r="T52" s="1064"/>
      <c r="U52" s="998">
        <v>0</v>
      </c>
      <c r="V52" s="999"/>
      <c r="W52" s="293"/>
      <c r="X52" s="1063">
        <v>21</v>
      </c>
      <c r="Y52" s="1064"/>
      <c r="Z52" s="998">
        <v>0</v>
      </c>
      <c r="AA52" s="999"/>
      <c r="AB52" s="421"/>
      <c r="AC52" s="404"/>
      <c r="AD52" s="192"/>
      <c r="AE52" s="192"/>
      <c r="AF52" s="192"/>
      <c r="AG52" s="192"/>
      <c r="AH52" s="192"/>
    </row>
    <row r="53" spans="1:34" s="500" customFormat="1" ht="16.2" customHeight="1" x14ac:dyDescent="0.25">
      <c r="A53" s="496"/>
      <c r="B53" s="497"/>
      <c r="C53" s="497"/>
      <c r="D53" s="635">
        <f>G53*D52</f>
        <v>60</v>
      </c>
      <c r="E53" s="578"/>
      <c r="F53" s="590" t="s">
        <v>295</v>
      </c>
      <c r="G53" s="591">
        <v>20</v>
      </c>
      <c r="H53" s="577"/>
      <c r="I53" s="635">
        <f>L53*I52</f>
        <v>70</v>
      </c>
      <c r="J53" s="596"/>
      <c r="K53" s="597" t="s">
        <v>295</v>
      </c>
      <c r="L53" s="598">
        <v>20</v>
      </c>
      <c r="M53" s="577"/>
      <c r="N53" s="635">
        <f>Q53*N52</f>
        <v>195</v>
      </c>
      <c r="O53" s="596"/>
      <c r="P53" s="597" t="s">
        <v>295</v>
      </c>
      <c r="Q53" s="598">
        <v>150</v>
      </c>
      <c r="R53" s="577"/>
      <c r="S53" s="635">
        <f>V53*S52</f>
        <v>108</v>
      </c>
      <c r="T53" s="596"/>
      <c r="U53" s="597" t="s">
        <v>295</v>
      </c>
      <c r="V53" s="598">
        <v>6</v>
      </c>
      <c r="W53" s="577"/>
      <c r="X53" s="635">
        <f>AA53*X52</f>
        <v>126</v>
      </c>
      <c r="Y53" s="596"/>
      <c r="Z53" s="597" t="s">
        <v>295</v>
      </c>
      <c r="AA53" s="598">
        <v>6</v>
      </c>
      <c r="AB53" s="497"/>
      <c r="AC53" s="616"/>
      <c r="AD53" s="617"/>
      <c r="AE53" s="617"/>
      <c r="AF53" s="617"/>
      <c r="AG53" s="617"/>
      <c r="AH53" s="617"/>
    </row>
    <row r="54" spans="1:34" ht="27" customHeight="1" x14ac:dyDescent="0.25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 x14ac:dyDescent="0.35">
      <c r="A55" s="480"/>
      <c r="B55" s="412"/>
      <c r="C55" s="276"/>
      <c r="D55" s="849" t="s">
        <v>612</v>
      </c>
      <c r="E55" s="849"/>
      <c r="F55" s="849"/>
      <c r="G55" s="849"/>
      <c r="H55" s="849"/>
      <c r="I55" s="849"/>
      <c r="J55" s="849"/>
      <c r="K55" s="849"/>
      <c r="L55" s="849"/>
      <c r="M55" s="849"/>
      <c r="N55" s="849"/>
      <c r="O55" s="849"/>
      <c r="P55" s="849"/>
      <c r="Q55" s="849"/>
      <c r="R55" s="849"/>
      <c r="S55" s="849"/>
      <c r="T55" s="849"/>
      <c r="U55" s="849"/>
      <c r="V55" s="849"/>
      <c r="W55" s="849"/>
      <c r="X55" s="849"/>
      <c r="Y55" s="849"/>
      <c r="Z55" s="849"/>
      <c r="AA55" s="849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 x14ac:dyDescent="0.35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3.8" x14ac:dyDescent="0.25">
      <c r="A57" s="476"/>
      <c r="B57" s="254"/>
      <c r="C57" s="254"/>
      <c r="D57" s="743"/>
      <c r="E57" s="744"/>
      <c r="F57" s="744"/>
      <c r="G57" s="745"/>
      <c r="H57" s="293"/>
      <c r="I57" s="743"/>
      <c r="J57" s="744"/>
      <c r="K57" s="744"/>
      <c r="L57" s="745"/>
      <c r="M57" s="293"/>
      <c r="N57" s="743"/>
      <c r="O57" s="744"/>
      <c r="P57" s="744"/>
      <c r="Q57" s="745"/>
      <c r="R57" s="293"/>
      <c r="S57" s="743"/>
      <c r="T57" s="744"/>
      <c r="U57" s="744"/>
      <c r="V57" s="745"/>
      <c r="W57" s="293"/>
      <c r="X57" s="743"/>
      <c r="Y57" s="744"/>
      <c r="Z57" s="744"/>
      <c r="AA57" s="745"/>
      <c r="AB57" s="254"/>
    </row>
    <row r="58" spans="1:34" ht="12" customHeight="1" x14ac:dyDescent="0.25">
      <c r="A58" s="476"/>
      <c r="B58" s="254"/>
      <c r="C58" s="254"/>
      <c r="D58" s="705"/>
      <c r="E58" s="706"/>
      <c r="F58" s="706"/>
      <c r="G58" s="707"/>
      <c r="H58" s="293"/>
      <c r="I58" s="705"/>
      <c r="J58" s="706"/>
      <c r="K58" s="706"/>
      <c r="L58" s="707"/>
      <c r="M58" s="293"/>
      <c r="N58" s="705"/>
      <c r="O58" s="706"/>
      <c r="P58" s="706"/>
      <c r="Q58" s="707"/>
      <c r="R58" s="293"/>
      <c r="S58" s="705"/>
      <c r="T58" s="706"/>
      <c r="U58" s="706"/>
      <c r="V58" s="707"/>
      <c r="W58" s="293"/>
      <c r="X58" s="705"/>
      <c r="Y58" s="706"/>
      <c r="Z58" s="706"/>
      <c r="AA58" s="707"/>
      <c r="AB58" s="254"/>
    </row>
    <row r="59" spans="1:34" ht="13.5" customHeight="1" x14ac:dyDescent="0.25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 x14ac:dyDescent="0.25">
      <c r="A60" s="476"/>
      <c r="B60" s="254"/>
      <c r="C60" s="254"/>
      <c r="D60" s="705"/>
      <c r="E60" s="706"/>
      <c r="F60" s="706"/>
      <c r="G60" s="707"/>
      <c r="H60" s="293"/>
      <c r="I60" s="705"/>
      <c r="J60" s="706"/>
      <c r="K60" s="706"/>
      <c r="L60" s="707"/>
      <c r="M60" s="293"/>
      <c r="N60" s="705"/>
      <c r="O60" s="706"/>
      <c r="P60" s="706"/>
      <c r="Q60" s="707"/>
      <c r="R60" s="293"/>
      <c r="S60" s="705"/>
      <c r="T60" s="706"/>
      <c r="U60" s="706"/>
      <c r="V60" s="707"/>
      <c r="W60" s="293"/>
      <c r="X60" s="705"/>
      <c r="Y60" s="706"/>
      <c r="Z60" s="706"/>
      <c r="AA60" s="707"/>
      <c r="AB60" s="254"/>
    </row>
    <row r="61" spans="1:34" ht="13.5" customHeight="1" x14ac:dyDescent="0.25">
      <c r="A61" s="476"/>
      <c r="B61" s="254"/>
      <c r="C61" s="254"/>
      <c r="D61" s="705"/>
      <c r="E61" s="706"/>
      <c r="F61" s="706"/>
      <c r="G61" s="707"/>
      <c r="H61" s="293"/>
      <c r="I61" s="705"/>
      <c r="J61" s="706"/>
      <c r="K61" s="706"/>
      <c r="L61" s="707"/>
      <c r="M61" s="293"/>
      <c r="N61" s="705"/>
      <c r="O61" s="706"/>
      <c r="P61" s="706"/>
      <c r="Q61" s="707"/>
      <c r="R61" s="293"/>
      <c r="S61" s="705"/>
      <c r="T61" s="706"/>
      <c r="U61" s="706"/>
      <c r="V61" s="707"/>
      <c r="W61" s="293"/>
      <c r="X61" s="705"/>
      <c r="Y61" s="706"/>
      <c r="Z61" s="706"/>
      <c r="AA61" s="707"/>
      <c r="AB61" s="254"/>
    </row>
    <row r="62" spans="1:34" ht="13.5" customHeight="1" x14ac:dyDescent="0.25">
      <c r="A62" s="476"/>
      <c r="B62" s="254"/>
      <c r="C62" s="254"/>
      <c r="D62" s="867"/>
      <c r="E62" s="868"/>
      <c r="F62" s="868"/>
      <c r="G62" s="869"/>
      <c r="H62" s="293"/>
      <c r="I62" s="867"/>
      <c r="J62" s="868"/>
      <c r="K62" s="868"/>
      <c r="L62" s="869"/>
      <c r="M62" s="293"/>
      <c r="N62" s="867"/>
      <c r="O62" s="868"/>
      <c r="P62" s="868"/>
      <c r="Q62" s="869"/>
      <c r="R62" s="293"/>
      <c r="S62" s="705"/>
      <c r="T62" s="706"/>
      <c r="U62" s="706"/>
      <c r="V62" s="707"/>
      <c r="W62" s="293"/>
      <c r="X62" s="705"/>
      <c r="Y62" s="706"/>
      <c r="Z62" s="706"/>
      <c r="AA62" s="707"/>
      <c r="AB62" s="254"/>
    </row>
    <row r="63" spans="1:34" ht="13.5" customHeight="1" x14ac:dyDescent="0.25">
      <c r="A63" s="476"/>
      <c r="B63" s="254"/>
      <c r="C63" s="254"/>
      <c r="D63" s="948" t="s">
        <v>262</v>
      </c>
      <c r="E63" s="949"/>
      <c r="F63" s="950"/>
      <c r="G63" s="951"/>
      <c r="H63" s="293"/>
      <c r="I63" s="948" t="s">
        <v>263</v>
      </c>
      <c r="J63" s="949"/>
      <c r="K63" s="950"/>
      <c r="L63" s="951"/>
      <c r="M63" s="293"/>
      <c r="N63" s="948" t="s">
        <v>264</v>
      </c>
      <c r="O63" s="949"/>
      <c r="P63" s="950"/>
      <c r="Q63" s="951"/>
      <c r="R63" s="293"/>
      <c r="S63" s="948" t="s">
        <v>265</v>
      </c>
      <c r="T63" s="949"/>
      <c r="U63" s="950"/>
      <c r="V63" s="951"/>
      <c r="W63" s="293"/>
      <c r="X63" s="948" t="s">
        <v>266</v>
      </c>
      <c r="Y63" s="949"/>
      <c r="Z63" s="950"/>
      <c r="AA63" s="951"/>
      <c r="AB63" s="254"/>
    </row>
    <row r="64" spans="1:34" ht="16.2" customHeight="1" thickBot="1" x14ac:dyDescent="0.35">
      <c r="A64" s="476"/>
      <c r="B64" s="256"/>
      <c r="C64" s="256"/>
      <c r="D64" s="907">
        <v>0.55000000000000004</v>
      </c>
      <c r="E64" s="908"/>
      <c r="F64" s="716">
        <v>225</v>
      </c>
      <c r="G64" s="717"/>
      <c r="H64" s="293"/>
      <c r="I64" s="907">
        <v>0.9</v>
      </c>
      <c r="J64" s="908"/>
      <c r="K64" s="716">
        <v>50</v>
      </c>
      <c r="L64" s="717"/>
      <c r="M64" s="293"/>
      <c r="N64" s="907">
        <v>0.95</v>
      </c>
      <c r="O64" s="908"/>
      <c r="P64" s="716">
        <v>50</v>
      </c>
      <c r="Q64" s="717"/>
      <c r="R64" s="293"/>
      <c r="S64" s="907">
        <v>0.85</v>
      </c>
      <c r="T64" s="908"/>
      <c r="U64" s="716">
        <v>8</v>
      </c>
      <c r="V64" s="717"/>
      <c r="W64" s="293"/>
      <c r="X64" s="907">
        <v>0.55000000000000004</v>
      </c>
      <c r="Y64" s="908"/>
      <c r="Z64" s="716">
        <v>10</v>
      </c>
      <c r="AA64" s="717"/>
      <c r="AB64" s="256"/>
    </row>
    <row r="65" spans="1:29" s="500" customFormat="1" ht="16.2" customHeight="1" x14ac:dyDescent="0.25">
      <c r="A65" s="496"/>
      <c r="B65" s="593"/>
      <c r="C65" s="593"/>
      <c r="D65" s="637">
        <f>D64*G65</f>
        <v>123.75000000000001</v>
      </c>
      <c r="E65" s="574"/>
      <c r="F65" s="575" t="s">
        <v>295</v>
      </c>
      <c r="G65" s="576">
        <v>225</v>
      </c>
      <c r="H65" s="577"/>
      <c r="I65" s="637">
        <f>I64*L65</f>
        <v>135</v>
      </c>
      <c r="J65" s="574"/>
      <c r="K65" s="575" t="s">
        <v>295</v>
      </c>
      <c r="L65" s="576">
        <v>150</v>
      </c>
      <c r="M65" s="577"/>
      <c r="N65" s="637">
        <f>N64*Q65</f>
        <v>57</v>
      </c>
      <c r="O65" s="574"/>
      <c r="P65" s="575" t="s">
        <v>295</v>
      </c>
      <c r="Q65" s="576">
        <v>60</v>
      </c>
      <c r="R65" s="577"/>
      <c r="S65" s="637">
        <f>S64*V65</f>
        <v>127.5</v>
      </c>
      <c r="T65" s="574"/>
      <c r="U65" s="575" t="s">
        <v>295</v>
      </c>
      <c r="V65" s="576">
        <v>150</v>
      </c>
      <c r="W65" s="577"/>
      <c r="X65" s="637">
        <f>X64*AA65</f>
        <v>123.75000000000001</v>
      </c>
      <c r="Y65" s="574"/>
      <c r="Z65" s="575" t="s">
        <v>295</v>
      </c>
      <c r="AA65" s="576">
        <v>225</v>
      </c>
      <c r="AB65" s="593"/>
      <c r="AC65" s="499"/>
    </row>
    <row r="66" spans="1:29" s="193" customFormat="1" ht="10.199999999999999" customHeight="1" x14ac:dyDescent="0.25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4.4" x14ac:dyDescent="0.25">
      <c r="A67" s="481"/>
      <c r="B67" s="254"/>
      <c r="C67" s="254"/>
      <c r="D67" s="720"/>
      <c r="E67" s="721"/>
      <c r="F67" s="721"/>
      <c r="G67" s="722"/>
      <c r="H67" s="293"/>
      <c r="I67" s="743"/>
      <c r="J67" s="744"/>
      <c r="K67" s="744"/>
      <c r="L67" s="745"/>
      <c r="M67" s="293"/>
      <c r="N67" s="743"/>
      <c r="O67" s="744"/>
      <c r="P67" s="744"/>
      <c r="Q67" s="745"/>
      <c r="R67" s="293"/>
      <c r="S67" s="743"/>
      <c r="T67" s="744"/>
      <c r="U67" s="744"/>
      <c r="V67" s="745"/>
      <c r="W67" s="293"/>
      <c r="X67" s="743"/>
      <c r="Y67" s="744"/>
      <c r="Z67" s="744"/>
      <c r="AA67" s="745"/>
      <c r="AB67" s="254"/>
      <c r="AC67" s="428"/>
    </row>
    <row r="68" spans="1:29" ht="13.5" customHeight="1" x14ac:dyDescent="0.25">
      <c r="A68" s="476"/>
      <c r="B68" s="254"/>
      <c r="C68" s="254"/>
      <c r="D68" s="723"/>
      <c r="E68" s="724"/>
      <c r="F68" s="724"/>
      <c r="G68" s="725"/>
      <c r="H68" s="293"/>
      <c r="I68" s="705"/>
      <c r="J68" s="706"/>
      <c r="K68" s="706"/>
      <c r="L68" s="707"/>
      <c r="M68" s="293"/>
      <c r="N68" s="705"/>
      <c r="O68" s="706"/>
      <c r="P68" s="706"/>
      <c r="Q68" s="707"/>
      <c r="R68" s="293"/>
      <c r="S68" s="705"/>
      <c r="T68" s="706"/>
      <c r="U68" s="706"/>
      <c r="V68" s="707"/>
      <c r="W68" s="293"/>
      <c r="X68" s="705"/>
      <c r="Y68" s="706"/>
      <c r="Z68" s="706"/>
      <c r="AA68" s="707"/>
      <c r="AB68" s="254"/>
    </row>
    <row r="69" spans="1:29" ht="13.8" x14ac:dyDescent="0.25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3.8" x14ac:dyDescent="0.25">
      <c r="A70" s="476"/>
      <c r="B70" s="254"/>
      <c r="C70" s="254"/>
      <c r="D70" s="723"/>
      <c r="E70" s="724"/>
      <c r="F70" s="724"/>
      <c r="G70" s="725"/>
      <c r="H70" s="293"/>
      <c r="I70" s="705"/>
      <c r="J70" s="706"/>
      <c r="K70" s="706"/>
      <c r="L70" s="707"/>
      <c r="M70" s="293"/>
      <c r="N70" s="705"/>
      <c r="O70" s="706"/>
      <c r="P70" s="706"/>
      <c r="Q70" s="707"/>
      <c r="R70" s="293"/>
      <c r="S70" s="705"/>
      <c r="T70" s="706"/>
      <c r="U70" s="706"/>
      <c r="V70" s="707"/>
      <c r="W70" s="293"/>
      <c r="X70" s="705"/>
      <c r="Y70" s="706"/>
      <c r="Z70" s="706"/>
      <c r="AA70" s="707"/>
      <c r="AB70" s="254"/>
    </row>
    <row r="71" spans="1:29" ht="13.8" x14ac:dyDescent="0.25">
      <c r="A71" s="476"/>
      <c r="B71" s="254"/>
      <c r="C71" s="254"/>
      <c r="D71" s="723"/>
      <c r="E71" s="724"/>
      <c r="F71" s="724"/>
      <c r="G71" s="725"/>
      <c r="H71" s="293"/>
      <c r="I71" s="705"/>
      <c r="J71" s="706"/>
      <c r="K71" s="706"/>
      <c r="L71" s="707"/>
      <c r="M71" s="293"/>
      <c r="N71" s="705"/>
      <c r="O71" s="706"/>
      <c r="P71" s="706"/>
      <c r="Q71" s="707"/>
      <c r="R71" s="293"/>
      <c r="S71" s="705"/>
      <c r="T71" s="706"/>
      <c r="U71" s="706"/>
      <c r="V71" s="707"/>
      <c r="W71" s="293"/>
      <c r="X71" s="705"/>
      <c r="Y71" s="706"/>
      <c r="Z71" s="706"/>
      <c r="AA71" s="707"/>
      <c r="AB71" s="254"/>
    </row>
    <row r="72" spans="1:29" ht="13.8" x14ac:dyDescent="0.25">
      <c r="A72" s="476"/>
      <c r="B72" s="254"/>
      <c r="C72" s="254"/>
      <c r="D72" s="723"/>
      <c r="E72" s="724"/>
      <c r="F72" s="724"/>
      <c r="G72" s="725"/>
      <c r="H72" s="293"/>
      <c r="I72" s="705"/>
      <c r="J72" s="706"/>
      <c r="K72" s="706"/>
      <c r="L72" s="707"/>
      <c r="M72" s="293"/>
      <c r="N72" s="705"/>
      <c r="O72" s="706"/>
      <c r="P72" s="706"/>
      <c r="Q72" s="707"/>
      <c r="R72" s="293"/>
      <c r="S72" s="705"/>
      <c r="T72" s="706"/>
      <c r="U72" s="706"/>
      <c r="V72" s="707"/>
      <c r="W72" s="293"/>
      <c r="X72" s="705"/>
      <c r="Y72" s="706"/>
      <c r="Z72" s="706"/>
      <c r="AA72" s="707"/>
      <c r="AB72" s="254"/>
    </row>
    <row r="73" spans="1:29" ht="13.8" x14ac:dyDescent="0.25">
      <c r="A73" s="476"/>
      <c r="B73" s="254"/>
      <c r="C73" s="254"/>
      <c r="D73" s="948" t="s">
        <v>267</v>
      </c>
      <c r="E73" s="949"/>
      <c r="F73" s="950"/>
      <c r="G73" s="951"/>
      <c r="H73" s="293"/>
      <c r="I73" s="851" t="s">
        <v>268</v>
      </c>
      <c r="J73" s="855"/>
      <c r="K73" s="856"/>
      <c r="L73" s="857"/>
      <c r="M73" s="293"/>
      <c r="N73" s="988" t="s">
        <v>269</v>
      </c>
      <c r="O73" s="989"/>
      <c r="P73" s="990"/>
      <c r="Q73" s="991"/>
      <c r="R73" s="293"/>
      <c r="S73" s="988" t="s">
        <v>270</v>
      </c>
      <c r="T73" s="989"/>
      <c r="U73" s="990"/>
      <c r="V73" s="991"/>
      <c r="W73" s="293"/>
      <c r="X73" s="948" t="s">
        <v>271</v>
      </c>
      <c r="Y73" s="949"/>
      <c r="Z73" s="950"/>
      <c r="AA73" s="951"/>
      <c r="AB73" s="254"/>
    </row>
    <row r="74" spans="1:29" ht="16.2" customHeight="1" thickBot="1" x14ac:dyDescent="0.3">
      <c r="A74" s="476"/>
      <c r="B74" s="254"/>
      <c r="C74" s="254"/>
      <c r="D74" s="907">
        <v>0.55000000000000004</v>
      </c>
      <c r="E74" s="908"/>
      <c r="F74" s="716">
        <v>10</v>
      </c>
      <c r="G74" s="717"/>
      <c r="H74" s="293"/>
      <c r="I74" s="907">
        <v>1.25</v>
      </c>
      <c r="J74" s="908"/>
      <c r="K74" s="716">
        <v>0</v>
      </c>
      <c r="L74" s="717"/>
      <c r="M74" s="293"/>
      <c r="N74" s="907">
        <v>0.55000000000000004</v>
      </c>
      <c r="O74" s="908"/>
      <c r="P74" s="716">
        <v>20</v>
      </c>
      <c r="Q74" s="717"/>
      <c r="R74" s="293"/>
      <c r="S74" s="907">
        <v>0.7</v>
      </c>
      <c r="T74" s="908"/>
      <c r="U74" s="716">
        <v>0</v>
      </c>
      <c r="V74" s="717"/>
      <c r="W74" s="293"/>
      <c r="X74" s="907">
        <v>0.95</v>
      </c>
      <c r="Y74" s="908"/>
      <c r="Z74" s="716">
        <v>0</v>
      </c>
      <c r="AA74" s="717"/>
      <c r="AB74" s="254"/>
    </row>
    <row r="75" spans="1:29" s="500" customFormat="1" ht="16.2" customHeight="1" x14ac:dyDescent="0.25">
      <c r="A75" s="496"/>
      <c r="B75" s="593"/>
      <c r="C75" s="593"/>
      <c r="D75" s="637">
        <f>D74*G75</f>
        <v>123.75000000000001</v>
      </c>
      <c r="E75" s="1045" t="s">
        <v>295</v>
      </c>
      <c r="F75" s="1045"/>
      <c r="G75" s="579">
        <v>225</v>
      </c>
      <c r="H75" s="577"/>
      <c r="I75" s="637">
        <f>I74*L75</f>
        <v>225</v>
      </c>
      <c r="J75" s="1045" t="s">
        <v>295</v>
      </c>
      <c r="K75" s="1045"/>
      <c r="L75" s="579">
        <v>180</v>
      </c>
      <c r="M75" s="577"/>
      <c r="N75" s="637">
        <f>N74*Q75</f>
        <v>82.5</v>
      </c>
      <c r="O75" s="612"/>
      <c r="P75" s="613" t="s">
        <v>295</v>
      </c>
      <c r="Q75" s="579">
        <v>150</v>
      </c>
      <c r="R75" s="577"/>
      <c r="S75" s="637">
        <f>S74*V75</f>
        <v>157.5</v>
      </c>
      <c r="T75" s="612"/>
      <c r="U75" s="613" t="s">
        <v>295</v>
      </c>
      <c r="V75" s="579">
        <v>225</v>
      </c>
      <c r="W75" s="577"/>
      <c r="X75" s="637">
        <f>X74*AA75</f>
        <v>171</v>
      </c>
      <c r="Y75" s="612"/>
      <c r="Z75" s="613" t="s">
        <v>295</v>
      </c>
      <c r="AA75" s="579">
        <v>180</v>
      </c>
      <c r="AB75" s="593"/>
      <c r="AC75" s="499"/>
    </row>
    <row r="76" spans="1:29" ht="10.199999999999999" customHeight="1" x14ac:dyDescent="0.25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3.8" x14ac:dyDescent="0.25">
      <c r="A77" s="482"/>
      <c r="B77" s="254"/>
      <c r="C77" s="254"/>
      <c r="D77" s="720"/>
      <c r="E77" s="721"/>
      <c r="F77" s="721"/>
      <c r="G77" s="722"/>
      <c r="H77" s="358"/>
      <c r="I77" s="720"/>
      <c r="J77" s="721"/>
      <c r="K77" s="721"/>
      <c r="L77" s="722"/>
      <c r="M77" s="293"/>
      <c r="N77" s="720"/>
      <c r="O77" s="721"/>
      <c r="P77" s="721"/>
      <c r="Q77" s="722"/>
      <c r="R77" s="358"/>
      <c r="S77" s="720"/>
      <c r="T77" s="721"/>
      <c r="U77" s="721"/>
      <c r="V77" s="722"/>
      <c r="W77" s="293"/>
      <c r="X77" s="720"/>
      <c r="Y77" s="721"/>
      <c r="Z77" s="721"/>
      <c r="AA77" s="722"/>
      <c r="AB77" s="254"/>
      <c r="AC77" s="429"/>
    </row>
    <row r="78" spans="1:29" s="197" customFormat="1" ht="14.4" x14ac:dyDescent="0.25">
      <c r="A78" s="481"/>
      <c r="B78" s="254"/>
      <c r="C78" s="254"/>
      <c r="D78" s="723"/>
      <c r="E78" s="724"/>
      <c r="F78" s="724"/>
      <c r="G78" s="725"/>
      <c r="H78" s="358"/>
      <c r="I78" s="723"/>
      <c r="J78" s="724"/>
      <c r="K78" s="724"/>
      <c r="L78" s="725"/>
      <c r="M78" s="293"/>
      <c r="N78" s="723"/>
      <c r="O78" s="724"/>
      <c r="P78" s="724"/>
      <c r="Q78" s="725"/>
      <c r="R78" s="358"/>
      <c r="S78" s="723"/>
      <c r="T78" s="724"/>
      <c r="U78" s="724"/>
      <c r="V78" s="725"/>
      <c r="W78" s="293"/>
      <c r="X78" s="723"/>
      <c r="Y78" s="724"/>
      <c r="Z78" s="724"/>
      <c r="AA78" s="725"/>
      <c r="AB78" s="254"/>
      <c r="AC78" s="428"/>
    </row>
    <row r="79" spans="1:29" ht="13.5" customHeight="1" x14ac:dyDescent="0.25">
      <c r="A79" s="476"/>
      <c r="B79" s="254"/>
      <c r="C79" s="254"/>
      <c r="D79" s="664"/>
      <c r="E79" s="665"/>
      <c r="F79" s="665"/>
      <c r="G79" s="666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3.8" x14ac:dyDescent="0.25">
      <c r="A80" s="476"/>
      <c r="B80" s="254"/>
      <c r="C80" s="254"/>
      <c r="D80" s="664"/>
      <c r="E80" s="665"/>
      <c r="F80" s="665"/>
      <c r="G80" s="666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3.8" x14ac:dyDescent="0.25">
      <c r="A81" s="476"/>
      <c r="B81" s="254"/>
      <c r="C81" s="254"/>
      <c r="D81" s="723"/>
      <c r="E81" s="724"/>
      <c r="F81" s="724"/>
      <c r="G81" s="725"/>
      <c r="H81" s="358"/>
      <c r="I81" s="723"/>
      <c r="J81" s="724"/>
      <c r="K81" s="724"/>
      <c r="L81" s="725"/>
      <c r="M81" s="293"/>
      <c r="N81" s="723"/>
      <c r="O81" s="724"/>
      <c r="P81" s="724"/>
      <c r="Q81" s="725"/>
      <c r="R81" s="358"/>
      <c r="S81" s="723"/>
      <c r="T81" s="724"/>
      <c r="U81" s="724"/>
      <c r="V81" s="725"/>
      <c r="W81" s="293"/>
      <c r="X81" s="723"/>
      <c r="Y81" s="724"/>
      <c r="Z81" s="724"/>
      <c r="AA81" s="725"/>
      <c r="AB81" s="254"/>
    </row>
    <row r="82" spans="1:29" ht="13.8" x14ac:dyDescent="0.25">
      <c r="A82" s="476"/>
      <c r="B82" s="254"/>
      <c r="C82" s="254"/>
      <c r="D82" s="1030"/>
      <c r="E82" s="1031"/>
      <c r="F82" s="1031"/>
      <c r="G82" s="1032"/>
      <c r="H82" s="358"/>
      <c r="I82" s="723"/>
      <c r="J82" s="724"/>
      <c r="K82" s="724"/>
      <c r="L82" s="725"/>
      <c r="M82" s="293"/>
      <c r="N82" s="1030"/>
      <c r="O82" s="1031"/>
      <c r="P82" s="1031"/>
      <c r="Q82" s="1032"/>
      <c r="R82" s="358"/>
      <c r="S82" s="723"/>
      <c r="T82" s="724"/>
      <c r="U82" s="724"/>
      <c r="V82" s="725"/>
      <c r="W82" s="293"/>
      <c r="X82" s="723"/>
      <c r="Y82" s="724"/>
      <c r="Z82" s="724"/>
      <c r="AA82" s="725"/>
      <c r="AB82" s="254"/>
    </row>
    <row r="83" spans="1:29" ht="13.8" x14ac:dyDescent="0.25">
      <c r="A83" s="476"/>
      <c r="B83" s="263"/>
      <c r="C83" s="263"/>
      <c r="D83" s="992" t="s">
        <v>272</v>
      </c>
      <c r="E83" s="993"/>
      <c r="F83" s="994"/>
      <c r="G83" s="995"/>
      <c r="H83" s="293"/>
      <c r="I83" s="851" t="s">
        <v>273</v>
      </c>
      <c r="J83" s="852"/>
      <c r="K83" s="853"/>
      <c r="L83" s="854"/>
      <c r="M83" s="293"/>
      <c r="N83" s="948" t="s">
        <v>274</v>
      </c>
      <c r="O83" s="949"/>
      <c r="P83" s="950"/>
      <c r="Q83" s="951"/>
      <c r="R83" s="293"/>
      <c r="S83" s="948" t="s">
        <v>275</v>
      </c>
      <c r="T83" s="949"/>
      <c r="U83" s="950"/>
      <c r="V83" s="951"/>
      <c r="W83" s="293"/>
      <c r="X83" s="948" t="s">
        <v>276</v>
      </c>
      <c r="Y83" s="949"/>
      <c r="Z83" s="950"/>
      <c r="AA83" s="951"/>
      <c r="AB83" s="254"/>
    </row>
    <row r="84" spans="1:29" ht="16.2" customHeight="1" thickBot="1" x14ac:dyDescent="0.3">
      <c r="A84" s="476"/>
      <c r="B84" s="254"/>
      <c r="C84" s="254"/>
      <c r="D84" s="863">
        <v>0.95</v>
      </c>
      <c r="E84" s="864"/>
      <c r="F84" s="716">
        <v>0</v>
      </c>
      <c r="G84" s="717"/>
      <c r="H84" s="293"/>
      <c r="I84" s="863">
        <v>0.85</v>
      </c>
      <c r="J84" s="864"/>
      <c r="K84" s="716">
        <v>0</v>
      </c>
      <c r="L84" s="717"/>
      <c r="M84" s="293"/>
      <c r="N84" s="863">
        <v>0.59</v>
      </c>
      <c r="O84" s="864"/>
      <c r="P84" s="716">
        <v>0</v>
      </c>
      <c r="Q84" s="717"/>
      <c r="R84" s="293"/>
      <c r="S84" s="863">
        <v>0.8</v>
      </c>
      <c r="T84" s="864"/>
      <c r="U84" s="716">
        <v>0</v>
      </c>
      <c r="V84" s="717"/>
      <c r="W84" s="293"/>
      <c r="X84" s="863">
        <v>0.8</v>
      </c>
      <c r="Y84" s="864"/>
      <c r="Z84" s="716">
        <v>0</v>
      </c>
      <c r="AA84" s="717"/>
      <c r="AB84" s="254"/>
    </row>
    <row r="85" spans="1:29" s="500" customFormat="1" ht="16.2" customHeight="1" x14ac:dyDescent="0.25">
      <c r="A85" s="496"/>
      <c r="B85" s="593"/>
      <c r="C85" s="593"/>
      <c r="D85" s="637">
        <f>D84*G85</f>
        <v>232.75</v>
      </c>
      <c r="E85" s="612"/>
      <c r="F85" s="613" t="s">
        <v>295</v>
      </c>
      <c r="G85" s="579">
        <v>245</v>
      </c>
      <c r="H85" s="577"/>
      <c r="I85" s="637">
        <f>I84*L85</f>
        <v>153</v>
      </c>
      <c r="J85" s="612"/>
      <c r="K85" s="613" t="s">
        <v>295</v>
      </c>
      <c r="L85" s="579">
        <v>180</v>
      </c>
      <c r="M85" s="577"/>
      <c r="N85" s="637">
        <f>N84*Q85</f>
        <v>132.75</v>
      </c>
      <c r="O85" s="612"/>
      <c r="P85" s="613" t="s">
        <v>295</v>
      </c>
      <c r="Q85" s="579">
        <v>225</v>
      </c>
      <c r="R85" s="577"/>
      <c r="S85" s="637">
        <f>S84*V85</f>
        <v>192</v>
      </c>
      <c r="T85" s="612"/>
      <c r="U85" s="613" t="s">
        <v>295</v>
      </c>
      <c r="V85" s="579">
        <v>240</v>
      </c>
      <c r="W85" s="577"/>
      <c r="X85" s="637">
        <f>X84*AA85</f>
        <v>240</v>
      </c>
      <c r="Y85" s="612"/>
      <c r="Z85" s="613" t="s">
        <v>295</v>
      </c>
      <c r="AA85" s="579">
        <v>300</v>
      </c>
      <c r="AB85" s="593"/>
      <c r="AC85" s="499"/>
    </row>
    <row r="86" spans="1:29" ht="10.199999999999999" customHeight="1" x14ac:dyDescent="0.25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3.8" x14ac:dyDescent="0.25">
      <c r="A87" s="479"/>
      <c r="B87" s="254"/>
      <c r="C87" s="254"/>
      <c r="D87" s="720"/>
      <c r="E87" s="721"/>
      <c r="F87" s="721"/>
      <c r="G87" s="722"/>
      <c r="H87" s="293"/>
      <c r="I87" s="743"/>
      <c r="J87" s="744"/>
      <c r="K87" s="744"/>
      <c r="L87" s="745"/>
      <c r="M87" s="293"/>
      <c r="N87" s="743"/>
      <c r="O87" s="744"/>
      <c r="P87" s="744"/>
      <c r="Q87" s="745"/>
      <c r="R87" s="293"/>
      <c r="S87" s="743"/>
      <c r="T87" s="744"/>
      <c r="U87" s="744"/>
      <c r="V87" s="745"/>
      <c r="W87" s="293"/>
      <c r="X87" s="743"/>
      <c r="Y87" s="744"/>
      <c r="Z87" s="744"/>
      <c r="AA87" s="745"/>
      <c r="AB87" s="254"/>
      <c r="AC87" s="405"/>
    </row>
    <row r="88" spans="1:29" s="197" customFormat="1" ht="14.4" x14ac:dyDescent="0.25">
      <c r="A88" s="481"/>
      <c r="B88" s="254"/>
      <c r="C88" s="254"/>
      <c r="D88" s="723"/>
      <c r="E88" s="724"/>
      <c r="F88" s="724"/>
      <c r="G88" s="725"/>
      <c r="H88" s="293"/>
      <c r="I88" s="705"/>
      <c r="J88" s="706"/>
      <c r="K88" s="706"/>
      <c r="L88" s="707"/>
      <c r="M88" s="293"/>
      <c r="N88" s="705"/>
      <c r="O88" s="706"/>
      <c r="P88" s="706"/>
      <c r="Q88" s="707"/>
      <c r="R88" s="293"/>
      <c r="S88" s="705"/>
      <c r="T88" s="706"/>
      <c r="U88" s="706"/>
      <c r="V88" s="707"/>
      <c r="W88" s="293"/>
      <c r="X88" s="705"/>
      <c r="Y88" s="706"/>
      <c r="Z88" s="706"/>
      <c r="AA88" s="707"/>
      <c r="AB88" s="254"/>
      <c r="AC88" s="428"/>
    </row>
    <row r="89" spans="1:29" ht="13.8" x14ac:dyDescent="0.25">
      <c r="A89" s="476"/>
      <c r="B89" s="254"/>
      <c r="C89" s="254"/>
      <c r="D89" s="664"/>
      <c r="E89" s="665"/>
      <c r="F89" s="665"/>
      <c r="G89" s="666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3.8" x14ac:dyDescent="0.25">
      <c r="A90" s="476"/>
      <c r="B90" s="254"/>
      <c r="C90" s="254"/>
      <c r="D90" s="723"/>
      <c r="E90" s="724"/>
      <c r="F90" s="724"/>
      <c r="G90" s="725"/>
      <c r="H90" s="293"/>
      <c r="I90" s="705"/>
      <c r="J90" s="706"/>
      <c r="K90" s="706"/>
      <c r="L90" s="707"/>
      <c r="M90" s="293"/>
      <c r="N90" s="705"/>
      <c r="O90" s="706"/>
      <c r="P90" s="706"/>
      <c r="Q90" s="707"/>
      <c r="R90" s="293"/>
      <c r="S90" s="705"/>
      <c r="T90" s="706"/>
      <c r="U90" s="706"/>
      <c r="V90" s="707"/>
      <c r="W90" s="293"/>
      <c r="X90" s="705"/>
      <c r="Y90" s="706"/>
      <c r="Z90" s="706"/>
      <c r="AA90" s="707"/>
      <c r="AB90" s="254"/>
    </row>
    <row r="91" spans="1:29" ht="13.8" x14ac:dyDescent="0.25">
      <c r="A91" s="476"/>
      <c r="B91" s="254"/>
      <c r="C91" s="254"/>
      <c r="D91" s="723"/>
      <c r="E91" s="724"/>
      <c r="F91" s="724"/>
      <c r="G91" s="725"/>
      <c r="H91" s="293"/>
      <c r="I91" s="705"/>
      <c r="J91" s="706"/>
      <c r="K91" s="706"/>
      <c r="L91" s="707"/>
      <c r="M91" s="293"/>
      <c r="N91" s="705"/>
      <c r="O91" s="706"/>
      <c r="P91" s="706"/>
      <c r="Q91" s="707"/>
      <c r="R91" s="293"/>
      <c r="S91" s="705"/>
      <c r="T91" s="706"/>
      <c r="U91" s="706"/>
      <c r="V91" s="707"/>
      <c r="W91" s="293"/>
      <c r="X91" s="705"/>
      <c r="Y91" s="706"/>
      <c r="Z91" s="706"/>
      <c r="AA91" s="707"/>
      <c r="AB91" s="254"/>
    </row>
    <row r="92" spans="1:29" ht="13.8" x14ac:dyDescent="0.25">
      <c r="A92" s="476"/>
      <c r="B92" s="254"/>
      <c r="C92" s="254"/>
      <c r="D92" s="1030"/>
      <c r="E92" s="1031"/>
      <c r="F92" s="1031"/>
      <c r="G92" s="1032"/>
      <c r="H92" s="293"/>
      <c r="I92" s="867"/>
      <c r="J92" s="868"/>
      <c r="K92" s="868"/>
      <c r="L92" s="869"/>
      <c r="M92" s="293"/>
      <c r="N92" s="867"/>
      <c r="O92" s="868"/>
      <c r="P92" s="868"/>
      <c r="Q92" s="869"/>
      <c r="R92" s="293"/>
      <c r="S92" s="867"/>
      <c r="T92" s="868"/>
      <c r="U92" s="868"/>
      <c r="V92" s="869"/>
      <c r="W92" s="293"/>
      <c r="X92" s="867"/>
      <c r="Y92" s="868"/>
      <c r="Z92" s="868"/>
      <c r="AA92" s="869"/>
      <c r="AB92" s="254"/>
    </row>
    <row r="93" spans="1:29" ht="13.8" x14ac:dyDescent="0.25">
      <c r="A93" s="476"/>
      <c r="B93" s="254"/>
      <c r="C93" s="254"/>
      <c r="D93" s="992" t="s">
        <v>277</v>
      </c>
      <c r="E93" s="993"/>
      <c r="F93" s="994"/>
      <c r="G93" s="995"/>
      <c r="H93" s="293"/>
      <c r="I93" s="992" t="s">
        <v>278</v>
      </c>
      <c r="J93" s="993"/>
      <c r="K93" s="994"/>
      <c r="L93" s="995"/>
      <c r="M93" s="293"/>
      <c r="N93" s="948" t="s">
        <v>279</v>
      </c>
      <c r="O93" s="949"/>
      <c r="P93" s="950"/>
      <c r="Q93" s="951"/>
      <c r="R93" s="293"/>
      <c r="S93" s="851" t="s">
        <v>379</v>
      </c>
      <c r="T93" s="852"/>
      <c r="U93" s="853"/>
      <c r="V93" s="854"/>
      <c r="W93" s="293"/>
      <c r="X93" s="948" t="s">
        <v>280</v>
      </c>
      <c r="Y93" s="949"/>
      <c r="Z93" s="950"/>
      <c r="AA93" s="951"/>
      <c r="AB93" s="254"/>
    </row>
    <row r="94" spans="1:29" ht="16.2" customHeight="1" thickBot="1" x14ac:dyDescent="0.3">
      <c r="A94" s="476"/>
      <c r="B94" s="254"/>
      <c r="C94" s="254"/>
      <c r="D94" s="1043">
        <v>0.8</v>
      </c>
      <c r="E94" s="1044"/>
      <c r="F94" s="765">
        <v>0</v>
      </c>
      <c r="G94" s="766"/>
      <c r="H94" s="293"/>
      <c r="I94" s="1041">
        <v>0.8</v>
      </c>
      <c r="J94" s="1042"/>
      <c r="K94" s="765">
        <v>0</v>
      </c>
      <c r="L94" s="766"/>
      <c r="M94" s="293"/>
      <c r="N94" s="907">
        <v>0.8</v>
      </c>
      <c r="O94" s="908"/>
      <c r="P94" s="716">
        <v>0</v>
      </c>
      <c r="Q94" s="717"/>
      <c r="R94" s="293"/>
      <c r="S94" s="907">
        <v>0.95</v>
      </c>
      <c r="T94" s="908"/>
      <c r="U94" s="716">
        <v>0</v>
      </c>
      <c r="V94" s="717"/>
      <c r="W94" s="293"/>
      <c r="X94" s="907">
        <v>0.8</v>
      </c>
      <c r="Y94" s="908"/>
      <c r="Z94" s="716">
        <v>0</v>
      </c>
      <c r="AA94" s="717"/>
      <c r="AB94" s="254"/>
    </row>
    <row r="95" spans="1:29" s="500" customFormat="1" ht="16.2" customHeight="1" x14ac:dyDescent="0.25">
      <c r="A95" s="496"/>
      <c r="B95" s="593"/>
      <c r="C95" s="593"/>
      <c r="D95" s="637">
        <f>D94*G95</f>
        <v>240</v>
      </c>
      <c r="E95" s="612"/>
      <c r="F95" s="613" t="s">
        <v>295</v>
      </c>
      <c r="G95" s="579">
        <v>300</v>
      </c>
      <c r="H95" s="577"/>
      <c r="I95" s="637">
        <f>I94*L95</f>
        <v>116</v>
      </c>
      <c r="J95" s="574"/>
      <c r="K95" s="575" t="s">
        <v>295</v>
      </c>
      <c r="L95" s="576">
        <v>145</v>
      </c>
      <c r="M95" s="577"/>
      <c r="N95" s="637">
        <f>N94*Q95</f>
        <v>116</v>
      </c>
      <c r="O95" s="574"/>
      <c r="P95" s="575" t="s">
        <v>295</v>
      </c>
      <c r="Q95" s="576">
        <v>145</v>
      </c>
      <c r="R95" s="577"/>
      <c r="S95" s="637">
        <f>S94*V95</f>
        <v>95</v>
      </c>
      <c r="T95" s="574"/>
      <c r="U95" s="575" t="s">
        <v>295</v>
      </c>
      <c r="V95" s="576">
        <v>100</v>
      </c>
      <c r="W95" s="577"/>
      <c r="X95" s="637">
        <f>X94*AA95</f>
        <v>80</v>
      </c>
      <c r="Y95" s="574"/>
      <c r="Z95" s="575" t="s">
        <v>295</v>
      </c>
      <c r="AA95" s="576">
        <v>100</v>
      </c>
      <c r="AB95" s="593"/>
      <c r="AC95" s="499"/>
    </row>
    <row r="96" spans="1:29" ht="10.199999999999999" customHeight="1" x14ac:dyDescent="0.25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3.8" x14ac:dyDescent="0.25">
      <c r="A97" s="476"/>
      <c r="B97" s="254"/>
      <c r="C97" s="254"/>
      <c r="D97" s="920"/>
      <c r="E97" s="921"/>
      <c r="F97" s="921"/>
      <c r="G97" s="922"/>
      <c r="H97" s="293"/>
      <c r="I97" s="920"/>
      <c r="J97" s="921"/>
      <c r="K97" s="921"/>
      <c r="L97" s="922"/>
      <c r="M97" s="293"/>
      <c r="N97" s="359"/>
      <c r="O97" s="359"/>
      <c r="P97" s="359"/>
      <c r="Q97" s="359"/>
      <c r="R97" s="293"/>
      <c r="S97" s="718"/>
      <c r="T97" s="718"/>
      <c r="U97" s="718"/>
      <c r="V97" s="718"/>
      <c r="W97" s="293"/>
      <c r="X97" s="718"/>
      <c r="Y97" s="718"/>
      <c r="Z97" s="718"/>
      <c r="AA97" s="718"/>
      <c r="AB97" s="254"/>
    </row>
    <row r="98" spans="1:29" ht="13.8" x14ac:dyDescent="0.25">
      <c r="A98" s="476"/>
      <c r="B98" s="254"/>
      <c r="C98" s="254"/>
      <c r="D98" s="923"/>
      <c r="E98" s="924"/>
      <c r="F98" s="924"/>
      <c r="G98" s="925"/>
      <c r="H98" s="293"/>
      <c r="I98" s="923"/>
      <c r="J98" s="924"/>
      <c r="K98" s="924"/>
      <c r="L98" s="925"/>
      <c r="M98" s="293"/>
      <c r="N98" s="359"/>
      <c r="O98" s="359"/>
      <c r="P98" s="359"/>
      <c r="Q98" s="359"/>
      <c r="R98" s="293"/>
      <c r="S98" s="718"/>
      <c r="T98" s="718"/>
      <c r="U98" s="718"/>
      <c r="V98" s="718"/>
      <c r="W98" s="293"/>
      <c r="X98" s="718"/>
      <c r="Y98" s="718"/>
      <c r="Z98" s="718"/>
      <c r="AA98" s="718"/>
      <c r="AB98" s="254"/>
    </row>
    <row r="99" spans="1:29" ht="13.8" x14ac:dyDescent="0.25">
      <c r="A99" s="476"/>
      <c r="B99" s="254"/>
      <c r="C99" s="254"/>
      <c r="D99" s="923"/>
      <c r="E99" s="924"/>
      <c r="F99" s="924"/>
      <c r="G99" s="925"/>
      <c r="H99" s="293"/>
      <c r="I99" s="923"/>
      <c r="J99" s="924"/>
      <c r="K99" s="924"/>
      <c r="L99" s="925"/>
      <c r="M99" s="293"/>
      <c r="N99" s="322"/>
      <c r="O99" s="322"/>
      <c r="P99" s="322"/>
      <c r="Q99" s="322"/>
      <c r="R99" s="293"/>
      <c r="S99" s="718"/>
      <c r="T99" s="718"/>
      <c r="U99" s="718"/>
      <c r="V99" s="718"/>
      <c r="W99" s="293"/>
      <c r="X99" s="718"/>
      <c r="Y99" s="718"/>
      <c r="Z99" s="718"/>
      <c r="AA99" s="718"/>
      <c r="AB99" s="254"/>
    </row>
    <row r="100" spans="1:29" ht="12" customHeight="1" x14ac:dyDescent="0.25">
      <c r="A100" s="476"/>
      <c r="B100" s="254"/>
      <c r="C100" s="254"/>
      <c r="D100" s="923"/>
      <c r="E100" s="924"/>
      <c r="F100" s="924"/>
      <c r="G100" s="925"/>
      <c r="H100" s="293"/>
      <c r="I100" s="923"/>
      <c r="J100" s="924"/>
      <c r="K100" s="924"/>
      <c r="L100" s="925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3.8" x14ac:dyDescent="0.25">
      <c r="A101" s="476"/>
      <c r="B101" s="254"/>
      <c r="C101" s="254"/>
      <c r="D101" s="923"/>
      <c r="E101" s="924"/>
      <c r="F101" s="924"/>
      <c r="G101" s="925"/>
      <c r="H101" s="293"/>
      <c r="I101" s="923"/>
      <c r="J101" s="924"/>
      <c r="K101" s="924"/>
      <c r="L101" s="925"/>
      <c r="M101" s="293"/>
      <c r="N101" s="359"/>
      <c r="O101" s="359"/>
      <c r="P101" s="359"/>
      <c r="Q101" s="359"/>
      <c r="R101" s="293"/>
      <c r="S101" s="718"/>
      <c r="T101" s="718"/>
      <c r="U101" s="718"/>
      <c r="V101" s="718"/>
      <c r="W101" s="293"/>
      <c r="X101" s="718"/>
      <c r="Y101" s="718"/>
      <c r="Z101" s="718"/>
      <c r="AA101" s="718"/>
      <c r="AB101" s="254"/>
    </row>
    <row r="102" spans="1:29" ht="13.8" x14ac:dyDescent="0.25">
      <c r="A102" s="476"/>
      <c r="B102" s="254"/>
      <c r="C102" s="254"/>
      <c r="D102" s="926"/>
      <c r="E102" s="927"/>
      <c r="F102" s="927"/>
      <c r="G102" s="928"/>
      <c r="H102" s="293"/>
      <c r="I102" s="926"/>
      <c r="J102" s="927"/>
      <c r="K102" s="927"/>
      <c r="L102" s="928"/>
      <c r="M102" s="293"/>
      <c r="N102" s="359"/>
      <c r="O102" s="359"/>
      <c r="P102" s="359"/>
      <c r="Q102" s="359"/>
      <c r="R102" s="293"/>
      <c r="S102" s="718"/>
      <c r="T102" s="718"/>
      <c r="U102" s="718"/>
      <c r="V102" s="718"/>
      <c r="W102" s="293"/>
      <c r="X102" s="718"/>
      <c r="Y102" s="718"/>
      <c r="Z102" s="718"/>
      <c r="AA102" s="718"/>
      <c r="AB102" s="254"/>
    </row>
    <row r="103" spans="1:29" ht="13.8" x14ac:dyDescent="0.25">
      <c r="A103" s="476"/>
      <c r="B103" s="254"/>
      <c r="C103" s="254"/>
      <c r="D103" s="948" t="s">
        <v>260</v>
      </c>
      <c r="E103" s="949"/>
      <c r="F103" s="950"/>
      <c r="G103" s="951"/>
      <c r="H103" s="293"/>
      <c r="I103" s="948" t="s">
        <v>261</v>
      </c>
      <c r="J103" s="949"/>
      <c r="K103" s="950"/>
      <c r="L103" s="951"/>
      <c r="M103" s="293"/>
      <c r="N103" s="1025"/>
      <c r="O103" s="1026"/>
      <c r="P103" s="1026"/>
      <c r="Q103" s="1026"/>
      <c r="R103" s="293"/>
      <c r="S103" s="778"/>
      <c r="T103" s="778"/>
      <c r="U103" s="778"/>
      <c r="V103" s="778"/>
      <c r="W103" s="293"/>
      <c r="X103" s="778"/>
      <c r="Y103" s="778"/>
      <c r="Z103" s="778"/>
      <c r="AA103" s="778"/>
      <c r="AB103" s="254"/>
    </row>
    <row r="104" spans="1:29" s="199" customFormat="1" ht="16.2" customHeight="1" thickBot="1" x14ac:dyDescent="0.3">
      <c r="A104" s="483"/>
      <c r="B104" s="254"/>
      <c r="C104" s="254"/>
      <c r="D104" s="863">
        <v>1.7</v>
      </c>
      <c r="E104" s="864"/>
      <c r="F104" s="716">
        <v>0</v>
      </c>
      <c r="G104" s="717"/>
      <c r="H104" s="293"/>
      <c r="I104" s="907">
        <v>1.8</v>
      </c>
      <c r="J104" s="908"/>
      <c r="K104" s="716">
        <v>0</v>
      </c>
      <c r="L104" s="717"/>
      <c r="M104" s="293"/>
      <c r="N104" s="915"/>
      <c r="O104" s="915"/>
      <c r="P104" s="862"/>
      <c r="Q104" s="862"/>
      <c r="R104" s="293"/>
      <c r="S104" s="915"/>
      <c r="T104" s="915"/>
      <c r="U104" s="862"/>
      <c r="V104" s="862"/>
      <c r="W104" s="293"/>
      <c r="X104" s="915"/>
      <c r="Y104" s="915"/>
      <c r="Z104" s="862"/>
      <c r="AA104" s="862"/>
      <c r="AB104" s="254"/>
      <c r="AC104" s="430"/>
    </row>
    <row r="105" spans="1:29" s="595" customFormat="1" ht="16.2" customHeight="1" x14ac:dyDescent="0.25">
      <c r="A105" s="589"/>
      <c r="B105" s="497"/>
      <c r="C105" s="497"/>
      <c r="D105" s="637">
        <f>D104*G105</f>
        <v>122.39999999999999</v>
      </c>
      <c r="E105" s="612"/>
      <c r="F105" s="613" t="s">
        <v>295</v>
      </c>
      <c r="G105" s="579">
        <v>72</v>
      </c>
      <c r="H105" s="577"/>
      <c r="I105" s="637">
        <f>I104*L105</f>
        <v>108</v>
      </c>
      <c r="J105" s="574"/>
      <c r="K105" s="575" t="s">
        <v>295</v>
      </c>
      <c r="L105" s="576">
        <v>60</v>
      </c>
      <c r="M105" s="577"/>
      <c r="N105" s="614"/>
      <c r="O105" s="614"/>
      <c r="P105" s="615"/>
      <c r="Q105" s="615"/>
      <c r="R105" s="577"/>
      <c r="S105" s="614"/>
      <c r="T105" s="614"/>
      <c r="U105" s="615"/>
      <c r="V105" s="615"/>
      <c r="W105" s="577"/>
      <c r="X105" s="614"/>
      <c r="Y105" s="614"/>
      <c r="Z105" s="615"/>
      <c r="AA105" s="615"/>
      <c r="AB105" s="497"/>
      <c r="AC105" s="594"/>
    </row>
    <row r="106" spans="1:29" s="199" customFormat="1" ht="27" customHeight="1" x14ac:dyDescent="0.25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 x14ac:dyDescent="0.35">
      <c r="A107" s="479"/>
      <c r="B107" s="275"/>
      <c r="C107" s="275"/>
      <c r="D107" s="850" t="s">
        <v>637</v>
      </c>
      <c r="E107" s="850"/>
      <c r="F107" s="850"/>
      <c r="G107" s="850"/>
      <c r="H107" s="850"/>
      <c r="I107" s="850"/>
      <c r="J107" s="850"/>
      <c r="K107" s="850"/>
      <c r="L107" s="850"/>
      <c r="M107" s="850"/>
      <c r="N107" s="850"/>
      <c r="O107" s="850"/>
      <c r="P107" s="850"/>
      <c r="Q107" s="850"/>
      <c r="R107" s="850"/>
      <c r="S107" s="850"/>
      <c r="T107" s="850"/>
      <c r="U107" s="850"/>
      <c r="V107" s="850"/>
      <c r="W107" s="850"/>
      <c r="X107" s="850"/>
      <c r="Y107" s="850"/>
      <c r="Z107" s="850"/>
      <c r="AA107" s="850"/>
      <c r="AB107" s="275"/>
      <c r="AC107" s="405"/>
    </row>
    <row r="108" spans="1:29" ht="27" customHeight="1" x14ac:dyDescent="0.4">
      <c r="A108" s="476"/>
      <c r="B108" s="254"/>
      <c r="C108" s="254"/>
      <c r="D108" s="937" t="s">
        <v>281</v>
      </c>
      <c r="E108" s="937"/>
      <c r="F108" s="937"/>
      <c r="G108" s="937"/>
      <c r="H108" s="938"/>
      <c r="I108" s="937"/>
      <c r="J108" s="937"/>
      <c r="K108" s="937"/>
      <c r="L108" s="937"/>
      <c r="M108" s="938"/>
      <c r="N108" s="937"/>
      <c r="O108" s="937"/>
      <c r="P108" s="937"/>
      <c r="Q108" s="937"/>
      <c r="R108" s="938"/>
      <c r="S108" s="937"/>
      <c r="T108" s="937"/>
      <c r="U108" s="937"/>
      <c r="V108" s="937"/>
      <c r="W108" s="938"/>
      <c r="X108" s="937"/>
      <c r="Y108" s="937"/>
      <c r="Z108" s="937"/>
      <c r="AA108" s="937"/>
      <c r="AB108" s="422"/>
    </row>
    <row r="109" spans="1:29" s="190" customFormat="1" ht="18" x14ac:dyDescent="0.35">
      <c r="A109" s="477"/>
      <c r="B109" s="1037"/>
      <c r="C109" s="289"/>
      <c r="D109" s="724"/>
      <c r="E109" s="724"/>
      <c r="F109" s="724"/>
      <c r="G109" s="724"/>
      <c r="H109" s="353"/>
      <c r="I109" s="724"/>
      <c r="J109" s="724"/>
      <c r="K109" s="724"/>
      <c r="L109" s="724"/>
      <c r="M109" s="353"/>
      <c r="N109" s="724"/>
      <c r="O109" s="724"/>
      <c r="P109" s="724"/>
      <c r="Q109" s="724"/>
      <c r="R109" s="353"/>
      <c r="S109" s="724"/>
      <c r="T109" s="724"/>
      <c r="U109" s="724"/>
      <c r="V109" s="724"/>
      <c r="W109" s="353"/>
      <c r="X109" s="724"/>
      <c r="Y109" s="724"/>
      <c r="Z109" s="724"/>
      <c r="AA109" s="724"/>
      <c r="AB109" s="423"/>
      <c r="AC109" s="426"/>
    </row>
    <row r="110" spans="1:29" ht="14.4" x14ac:dyDescent="0.3">
      <c r="A110" s="476"/>
      <c r="B110" s="1037"/>
      <c r="C110" s="289"/>
      <c r="D110" s="706"/>
      <c r="E110" s="706"/>
      <c r="F110" s="706"/>
      <c r="G110" s="706"/>
      <c r="H110" s="353"/>
      <c r="I110" s="706"/>
      <c r="J110" s="706"/>
      <c r="K110" s="706"/>
      <c r="L110" s="706"/>
      <c r="M110" s="353"/>
      <c r="N110" s="706"/>
      <c r="O110" s="706"/>
      <c r="P110" s="706"/>
      <c r="Q110" s="706"/>
      <c r="R110" s="353"/>
      <c r="S110" s="706"/>
      <c r="T110" s="706"/>
      <c r="U110" s="706"/>
      <c r="V110" s="706"/>
      <c r="W110" s="353"/>
      <c r="X110" s="706"/>
      <c r="Y110" s="706"/>
      <c r="Z110" s="706"/>
      <c r="AA110" s="706"/>
      <c r="AB110" s="423"/>
    </row>
    <row r="111" spans="1:29" ht="12.6" customHeight="1" x14ac:dyDescent="0.3">
      <c r="A111" s="476"/>
      <c r="B111" s="1037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7" customHeight="1" x14ac:dyDescent="0.3">
      <c r="A112" s="476"/>
      <c r="B112" s="1037"/>
      <c r="C112" s="289"/>
      <c r="D112" s="706"/>
      <c r="E112" s="706"/>
      <c r="F112" s="706"/>
      <c r="G112" s="706"/>
      <c r="H112" s="353"/>
      <c r="I112" s="706"/>
      <c r="J112" s="706"/>
      <c r="K112" s="706"/>
      <c r="L112" s="706"/>
      <c r="M112" s="353"/>
      <c r="N112" s="706"/>
      <c r="O112" s="706"/>
      <c r="P112" s="706"/>
      <c r="Q112" s="706"/>
      <c r="R112" s="353"/>
      <c r="S112" s="706"/>
      <c r="T112" s="706"/>
      <c r="U112" s="706"/>
      <c r="V112" s="706"/>
      <c r="W112" s="353"/>
      <c r="X112" s="706"/>
      <c r="Y112" s="706"/>
      <c r="Z112" s="706"/>
      <c r="AA112" s="706"/>
      <c r="AB112" s="423"/>
    </row>
    <row r="113" spans="1:29" ht="14.4" x14ac:dyDescent="0.3">
      <c r="A113" s="476"/>
      <c r="B113" s="1037"/>
      <c r="C113" s="289"/>
      <c r="D113" s="706"/>
      <c r="E113" s="706"/>
      <c r="F113" s="706"/>
      <c r="G113" s="706"/>
      <c r="H113" s="353"/>
      <c r="I113" s="706"/>
      <c r="J113" s="706"/>
      <c r="K113" s="706"/>
      <c r="L113" s="706"/>
      <c r="M113" s="353"/>
      <c r="N113" s="706"/>
      <c r="O113" s="706"/>
      <c r="P113" s="706"/>
      <c r="Q113" s="706"/>
      <c r="R113" s="353"/>
      <c r="S113" s="706"/>
      <c r="T113" s="706"/>
      <c r="U113" s="706"/>
      <c r="V113" s="706"/>
      <c r="W113" s="353"/>
      <c r="X113" s="706"/>
      <c r="Y113" s="706"/>
      <c r="Z113" s="706"/>
      <c r="AA113" s="706"/>
      <c r="AB113" s="423"/>
    </row>
    <row r="114" spans="1:29" ht="14.4" x14ac:dyDescent="0.3">
      <c r="A114" s="476"/>
      <c r="B114" s="1037"/>
      <c r="C114" s="289"/>
      <c r="D114" s="709"/>
      <c r="E114" s="709"/>
      <c r="F114" s="709"/>
      <c r="G114" s="709"/>
      <c r="H114" s="353"/>
      <c r="I114" s="706"/>
      <c r="J114" s="706"/>
      <c r="K114" s="706"/>
      <c r="L114" s="706"/>
      <c r="M114" s="353"/>
      <c r="N114" s="706"/>
      <c r="O114" s="706"/>
      <c r="P114" s="706"/>
      <c r="Q114" s="706"/>
      <c r="R114" s="353"/>
      <c r="S114" s="706"/>
      <c r="T114" s="706"/>
      <c r="U114" s="706"/>
      <c r="V114" s="706"/>
      <c r="W114" s="353"/>
      <c r="X114" s="706"/>
      <c r="Y114" s="706"/>
      <c r="Z114" s="706"/>
      <c r="AA114" s="706"/>
      <c r="AB114" s="423"/>
    </row>
    <row r="115" spans="1:29" ht="14.4" x14ac:dyDescent="0.3">
      <c r="A115" s="476"/>
      <c r="B115" s="1037"/>
      <c r="C115" s="264"/>
      <c r="D115" s="917" t="s">
        <v>243</v>
      </c>
      <c r="E115" s="918"/>
      <c r="F115" s="918"/>
      <c r="G115" s="919"/>
      <c r="H115" s="293"/>
      <c r="I115" s="917" t="s">
        <v>244</v>
      </c>
      <c r="J115" s="918"/>
      <c r="K115" s="918"/>
      <c r="L115" s="919"/>
      <c r="M115" s="293"/>
      <c r="N115" s="917" t="s">
        <v>245</v>
      </c>
      <c r="O115" s="918"/>
      <c r="P115" s="918"/>
      <c r="Q115" s="919"/>
      <c r="R115" s="293"/>
      <c r="S115" s="917" t="s">
        <v>246</v>
      </c>
      <c r="T115" s="918"/>
      <c r="U115" s="918"/>
      <c r="V115" s="919"/>
      <c r="W115" s="293"/>
      <c r="X115" s="917" t="s">
        <v>247</v>
      </c>
      <c r="Y115" s="918"/>
      <c r="Z115" s="918"/>
      <c r="AA115" s="919"/>
      <c r="AB115" s="256"/>
    </row>
    <row r="116" spans="1:29" ht="13.5" customHeight="1" x14ac:dyDescent="0.3">
      <c r="A116" s="476"/>
      <c r="B116" s="1037"/>
      <c r="C116" s="264"/>
      <c r="D116" s="910" t="s">
        <v>290</v>
      </c>
      <c r="E116" s="910"/>
      <c r="F116" s="910"/>
      <c r="G116" s="910"/>
      <c r="H116" s="354"/>
      <c r="I116" s="916" t="s">
        <v>289</v>
      </c>
      <c r="J116" s="739"/>
      <c r="K116" s="739"/>
      <c r="L116" s="740"/>
      <c r="M116" s="354"/>
      <c r="N116" s="916" t="s">
        <v>286</v>
      </c>
      <c r="O116" s="739"/>
      <c r="P116" s="739"/>
      <c r="Q116" s="739"/>
      <c r="R116" s="474"/>
      <c r="S116" s="739" t="s">
        <v>288</v>
      </c>
      <c r="T116" s="739"/>
      <c r="U116" s="739"/>
      <c r="V116" s="740"/>
      <c r="W116" s="354"/>
      <c r="X116" s="916" t="s">
        <v>287</v>
      </c>
      <c r="Y116" s="739"/>
      <c r="Z116" s="739"/>
      <c r="AA116" s="740"/>
      <c r="AB116" s="259"/>
    </row>
    <row r="117" spans="1:29" s="284" customFormat="1" ht="13.5" customHeight="1" thickBot="1" x14ac:dyDescent="0.35">
      <c r="A117" s="484"/>
      <c r="B117" s="1037"/>
      <c r="C117" s="282"/>
      <c r="D117" s="726" t="s">
        <v>636</v>
      </c>
      <c r="E117" s="727"/>
      <c r="F117" s="728"/>
      <c r="G117" s="729"/>
      <c r="H117" s="301"/>
      <c r="I117" s="726" t="s">
        <v>638</v>
      </c>
      <c r="J117" s="727"/>
      <c r="K117" s="728"/>
      <c r="L117" s="729"/>
      <c r="M117" s="301"/>
      <c r="N117" s="726" t="s">
        <v>639</v>
      </c>
      <c r="O117" s="727"/>
      <c r="P117" s="728"/>
      <c r="Q117" s="728"/>
      <c r="R117" s="475"/>
      <c r="S117" s="727" t="s">
        <v>640</v>
      </c>
      <c r="T117" s="727"/>
      <c r="U117" s="728"/>
      <c r="V117" s="729"/>
      <c r="W117" s="301"/>
      <c r="X117" s="726" t="s">
        <v>661</v>
      </c>
      <c r="Y117" s="727"/>
      <c r="Z117" s="728"/>
      <c r="AA117" s="729"/>
      <c r="AB117" s="285"/>
      <c r="AC117" s="431"/>
    </row>
    <row r="118" spans="1:29" s="200" customFormat="1" ht="16.2" customHeight="1" thickBot="1" x14ac:dyDescent="0.35">
      <c r="A118" s="485"/>
      <c r="B118" s="1037"/>
      <c r="C118" s="264"/>
      <c r="D118" s="909">
        <f>(D64*2)+D373+I373</f>
        <v>1.2500000000000002</v>
      </c>
      <c r="E118" s="712"/>
      <c r="F118" s="713">
        <v>0</v>
      </c>
      <c r="G118" s="904"/>
      <c r="H118" s="293"/>
      <c r="I118" s="909">
        <f>I64+N64+(D373+I373)*2</f>
        <v>2.1500000000000004</v>
      </c>
      <c r="J118" s="712"/>
      <c r="K118" s="713">
        <v>0</v>
      </c>
      <c r="L118" s="904"/>
      <c r="M118" s="293"/>
      <c r="N118" s="909">
        <f>(I64*2)+S64+(D373*3)+(I373*3)</f>
        <v>3.0999999999999996</v>
      </c>
      <c r="O118" s="712"/>
      <c r="P118" s="713">
        <v>0</v>
      </c>
      <c r="Q118" s="904"/>
      <c r="R118" s="293"/>
      <c r="S118" s="909">
        <f>(S64*2)+(D373*2)+(I373*2)</f>
        <v>2</v>
      </c>
      <c r="T118" s="712"/>
      <c r="U118" s="713">
        <v>0</v>
      </c>
      <c r="V118" s="904"/>
      <c r="W118" s="293"/>
      <c r="X118" s="909">
        <f>(I64*4)+(D373*4)+(I373*4)</f>
        <v>4.2</v>
      </c>
      <c r="Y118" s="712"/>
      <c r="Z118" s="713">
        <v>0</v>
      </c>
      <c r="AA118" s="904"/>
      <c r="AB118" s="256"/>
      <c r="AC118" s="432"/>
    </row>
    <row r="119" spans="1:29" s="199" customFormat="1" ht="10.199999999999999" customHeight="1" x14ac:dyDescent="0.3">
      <c r="A119" s="483"/>
      <c r="B119" s="1037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4.4" x14ac:dyDescent="0.3">
      <c r="A120" s="476"/>
      <c r="B120" s="1037"/>
      <c r="C120" s="289"/>
      <c r="D120" s="706"/>
      <c r="E120" s="706"/>
      <c r="F120" s="706"/>
      <c r="G120" s="706"/>
      <c r="H120" s="353"/>
      <c r="I120" s="706"/>
      <c r="J120" s="706"/>
      <c r="K120" s="706"/>
      <c r="L120" s="706"/>
      <c r="M120" s="353"/>
      <c r="N120" s="724"/>
      <c r="O120" s="724"/>
      <c r="P120" s="724"/>
      <c r="Q120" s="724"/>
      <c r="R120" s="353"/>
      <c r="S120" s="724"/>
      <c r="T120" s="724"/>
      <c r="U120" s="724"/>
      <c r="V120" s="724"/>
      <c r="W120" s="353"/>
      <c r="X120" s="724"/>
      <c r="Y120" s="724"/>
      <c r="Z120" s="724"/>
      <c r="AA120" s="724"/>
      <c r="AB120" s="423"/>
    </row>
    <row r="121" spans="1:29" ht="14.4" x14ac:dyDescent="0.3">
      <c r="A121" s="476"/>
      <c r="B121" s="1037"/>
      <c r="C121" s="289"/>
      <c r="D121" s="706"/>
      <c r="E121" s="706"/>
      <c r="F121" s="706"/>
      <c r="G121" s="706"/>
      <c r="H121" s="353"/>
      <c r="I121" s="706"/>
      <c r="J121" s="706"/>
      <c r="K121" s="706"/>
      <c r="L121" s="706"/>
      <c r="M121" s="353"/>
      <c r="N121" s="768"/>
      <c r="O121" s="769"/>
      <c r="P121" s="769"/>
      <c r="Q121" s="768"/>
      <c r="R121" s="353"/>
      <c r="S121" s="768"/>
      <c r="T121" s="769"/>
      <c r="U121" s="769"/>
      <c r="V121" s="768"/>
      <c r="W121" s="353"/>
      <c r="X121" s="724"/>
      <c r="Y121" s="724"/>
      <c r="Z121" s="724"/>
      <c r="AA121" s="724"/>
      <c r="AB121" s="423"/>
    </row>
    <row r="122" spans="1:29" ht="14.4" x14ac:dyDescent="0.3">
      <c r="A122" s="476"/>
      <c r="B122" s="1037"/>
      <c r="C122" s="289"/>
      <c r="D122" s="706"/>
      <c r="E122" s="706"/>
      <c r="F122" s="706"/>
      <c r="G122" s="706"/>
      <c r="H122" s="353"/>
      <c r="I122" s="706"/>
      <c r="J122" s="706"/>
      <c r="K122" s="706"/>
      <c r="L122" s="706"/>
      <c r="M122" s="353"/>
      <c r="N122" s="768"/>
      <c r="O122" s="769"/>
      <c r="P122" s="769"/>
      <c r="Q122" s="768"/>
      <c r="R122" s="353"/>
      <c r="S122" s="768"/>
      <c r="T122" s="769"/>
      <c r="U122" s="769"/>
      <c r="V122" s="768"/>
      <c r="W122" s="353"/>
      <c r="X122" s="335"/>
      <c r="Y122" s="335"/>
      <c r="Z122" s="335"/>
      <c r="AA122" s="335"/>
      <c r="AB122" s="423"/>
    </row>
    <row r="123" spans="1:29" ht="14.4" x14ac:dyDescent="0.3">
      <c r="A123" s="476"/>
      <c r="B123" s="1037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68"/>
      <c r="O123" s="769"/>
      <c r="P123" s="769"/>
      <c r="Q123" s="768"/>
      <c r="R123" s="353"/>
      <c r="S123" s="768"/>
      <c r="T123" s="769"/>
      <c r="U123" s="769"/>
      <c r="V123" s="768"/>
      <c r="W123" s="353"/>
      <c r="X123" s="724"/>
      <c r="Y123" s="724"/>
      <c r="Z123" s="724"/>
      <c r="AA123" s="724"/>
      <c r="AB123" s="423"/>
    </row>
    <row r="124" spans="1:29" ht="14.4" x14ac:dyDescent="0.3">
      <c r="A124" s="476"/>
      <c r="B124" s="1037"/>
      <c r="C124" s="289"/>
      <c r="D124" s="706"/>
      <c r="E124" s="706"/>
      <c r="F124" s="706"/>
      <c r="G124" s="706"/>
      <c r="H124" s="353"/>
      <c r="I124" s="706"/>
      <c r="J124" s="706"/>
      <c r="K124" s="706"/>
      <c r="L124" s="706"/>
      <c r="M124" s="353"/>
      <c r="N124" s="768"/>
      <c r="O124" s="769"/>
      <c r="P124" s="769"/>
      <c r="Q124" s="768"/>
      <c r="R124" s="353"/>
      <c r="S124" s="768"/>
      <c r="T124" s="769"/>
      <c r="U124" s="769"/>
      <c r="V124" s="768"/>
      <c r="W124" s="353"/>
      <c r="X124" s="724"/>
      <c r="Y124" s="724"/>
      <c r="Z124" s="724"/>
      <c r="AA124" s="724"/>
      <c r="AB124" s="423"/>
    </row>
    <row r="125" spans="1:29" ht="13.5" customHeight="1" x14ac:dyDescent="0.3">
      <c r="A125" s="476"/>
      <c r="B125" s="1037"/>
      <c r="C125" s="289"/>
      <c r="D125" s="706"/>
      <c r="E125" s="706"/>
      <c r="F125" s="706"/>
      <c r="G125" s="706"/>
      <c r="H125" s="353"/>
      <c r="I125" s="706"/>
      <c r="J125" s="706"/>
      <c r="K125" s="706"/>
      <c r="L125" s="706"/>
      <c r="M125" s="353"/>
      <c r="N125" s="768"/>
      <c r="O125" s="768"/>
      <c r="P125" s="768"/>
      <c r="Q125" s="768"/>
      <c r="R125" s="353"/>
      <c r="S125" s="768"/>
      <c r="T125" s="768"/>
      <c r="U125" s="768"/>
      <c r="V125" s="768"/>
      <c r="W125" s="353"/>
      <c r="X125" s="724"/>
      <c r="Y125" s="724"/>
      <c r="Z125" s="724"/>
      <c r="AA125" s="724"/>
      <c r="AB125" s="423"/>
    </row>
    <row r="126" spans="1:29" ht="14.4" x14ac:dyDescent="0.3">
      <c r="A126" s="476"/>
      <c r="B126" s="1037"/>
      <c r="C126" s="264"/>
      <c r="D126" s="758" t="s">
        <v>248</v>
      </c>
      <c r="E126" s="759"/>
      <c r="F126" s="759"/>
      <c r="G126" s="760"/>
      <c r="H126" s="293"/>
      <c r="I126" s="758" t="s">
        <v>249</v>
      </c>
      <c r="J126" s="759"/>
      <c r="K126" s="759"/>
      <c r="L126" s="760"/>
      <c r="M126" s="293"/>
      <c r="N126" s="758" t="s">
        <v>250</v>
      </c>
      <c r="O126" s="759"/>
      <c r="P126" s="759"/>
      <c r="Q126" s="760"/>
      <c r="R126" s="293"/>
      <c r="S126" s="758" t="s">
        <v>251</v>
      </c>
      <c r="T126" s="759"/>
      <c r="U126" s="759"/>
      <c r="V126" s="760"/>
      <c r="W126" s="293"/>
      <c r="X126" s="940" t="s">
        <v>252</v>
      </c>
      <c r="Y126" s="941"/>
      <c r="Z126" s="941"/>
      <c r="AA126" s="942"/>
      <c r="AB126" s="256"/>
    </row>
    <row r="127" spans="1:29" s="284" customFormat="1" ht="13.5" customHeight="1" x14ac:dyDescent="0.3">
      <c r="A127" s="484"/>
      <c r="B127" s="1037"/>
      <c r="C127" s="282"/>
      <c r="D127" s="914" t="s">
        <v>402</v>
      </c>
      <c r="E127" s="728"/>
      <c r="F127" s="728"/>
      <c r="G127" s="729"/>
      <c r="H127" s="347"/>
      <c r="I127" s="914" t="s">
        <v>401</v>
      </c>
      <c r="J127" s="728"/>
      <c r="K127" s="728"/>
      <c r="L127" s="729"/>
      <c r="M127" s="347"/>
      <c r="N127" s="914" t="s">
        <v>400</v>
      </c>
      <c r="O127" s="728"/>
      <c r="P127" s="728"/>
      <c r="Q127" s="729"/>
      <c r="R127" s="347"/>
      <c r="S127" s="914" t="s">
        <v>399</v>
      </c>
      <c r="T127" s="728"/>
      <c r="U127" s="728"/>
      <c r="V127" s="729"/>
      <c r="W127" s="347"/>
      <c r="X127" s="911" t="s">
        <v>398</v>
      </c>
      <c r="Y127" s="912"/>
      <c r="Z127" s="912"/>
      <c r="AA127" s="913"/>
      <c r="AB127" s="424"/>
      <c r="AC127" s="431"/>
    </row>
    <row r="128" spans="1:29" s="284" customFormat="1" ht="13.5" customHeight="1" thickBot="1" x14ac:dyDescent="0.35">
      <c r="A128" s="484"/>
      <c r="B128" s="1037"/>
      <c r="C128" s="282"/>
      <c r="D128" s="726" t="s">
        <v>647</v>
      </c>
      <c r="E128" s="727"/>
      <c r="F128" s="728"/>
      <c r="G128" s="729"/>
      <c r="H128" s="301"/>
      <c r="I128" s="726" t="s">
        <v>648</v>
      </c>
      <c r="J128" s="727"/>
      <c r="K128" s="728"/>
      <c r="L128" s="729"/>
      <c r="M128" s="301"/>
      <c r="N128" s="726" t="s">
        <v>641</v>
      </c>
      <c r="O128" s="727"/>
      <c r="P128" s="728"/>
      <c r="Q128" s="729"/>
      <c r="R128" s="301"/>
      <c r="S128" s="726" t="s">
        <v>642</v>
      </c>
      <c r="T128" s="727"/>
      <c r="U128" s="728"/>
      <c r="V128" s="729"/>
      <c r="W128" s="301"/>
      <c r="X128" s="726" t="s">
        <v>643</v>
      </c>
      <c r="Y128" s="727"/>
      <c r="Z128" s="728"/>
      <c r="AA128" s="729"/>
      <c r="AB128" s="285"/>
      <c r="AC128" s="431"/>
    </row>
    <row r="129" spans="1:29" s="199" customFormat="1" ht="16.2" customHeight="1" thickBot="1" x14ac:dyDescent="0.35">
      <c r="A129" s="483"/>
      <c r="B129" s="1037"/>
      <c r="C129" s="264"/>
      <c r="D129" s="735">
        <f>(X64*2)+(D74*2)+(D373*2)+(I373*2)</f>
        <v>2.5000000000000004</v>
      </c>
      <c r="E129" s="1036"/>
      <c r="F129" s="929">
        <v>0</v>
      </c>
      <c r="G129" s="1033"/>
      <c r="H129" s="293"/>
      <c r="I129" s="909">
        <f>(I74*2)+(D74*2)+(D373*3)+(I373*3)</f>
        <v>4.05</v>
      </c>
      <c r="J129" s="712"/>
      <c r="K129" s="713">
        <v>0</v>
      </c>
      <c r="L129" s="904"/>
      <c r="M129" s="293"/>
      <c r="N129" s="909">
        <f>(N74*2)+D373+I373</f>
        <v>1.2500000000000002</v>
      </c>
      <c r="O129" s="712"/>
      <c r="P129" s="713">
        <v>0</v>
      </c>
      <c r="Q129" s="904"/>
      <c r="R129" s="293"/>
      <c r="S129" s="909">
        <f>(S74*2)+D373+I373</f>
        <v>1.55</v>
      </c>
      <c r="T129" s="712"/>
      <c r="U129" s="713">
        <v>0</v>
      </c>
      <c r="V129" s="904"/>
      <c r="W129" s="293"/>
      <c r="X129" s="943">
        <f>X74+D84+D373+I373</f>
        <v>2.0499999999999998</v>
      </c>
      <c r="Y129" s="944"/>
      <c r="Z129" s="713">
        <v>0</v>
      </c>
      <c r="AA129" s="904"/>
      <c r="AB129" s="256"/>
      <c r="AC129" s="430"/>
    </row>
    <row r="130" spans="1:29" ht="10.199999999999999" customHeight="1" x14ac:dyDescent="0.3">
      <c r="A130" s="476"/>
      <c r="B130" s="1037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4.4" x14ac:dyDescent="0.3">
      <c r="A131" s="476"/>
      <c r="B131" s="1037"/>
      <c r="C131" s="289"/>
      <c r="D131" s="724"/>
      <c r="E131" s="724"/>
      <c r="F131" s="724"/>
      <c r="G131" s="724"/>
      <c r="H131" s="353"/>
      <c r="I131" s="706"/>
      <c r="J131" s="706"/>
      <c r="K131" s="706"/>
      <c r="L131" s="706"/>
      <c r="M131" s="353"/>
      <c r="N131" s="1027"/>
      <c r="O131" s="1028"/>
      <c r="P131" s="1028"/>
      <c r="Q131" s="1028"/>
      <c r="R131" s="353"/>
      <c r="S131" s="706"/>
      <c r="T131" s="706"/>
      <c r="U131" s="706"/>
      <c r="V131" s="706"/>
      <c r="W131" s="353"/>
      <c r="X131" s="706"/>
      <c r="Y131" s="706"/>
      <c r="Z131" s="706"/>
      <c r="AA131" s="706"/>
      <c r="AB131" s="423"/>
    </row>
    <row r="132" spans="1:29" ht="14.4" x14ac:dyDescent="0.3">
      <c r="A132" s="476"/>
      <c r="B132" s="1037"/>
      <c r="C132" s="289"/>
      <c r="D132" s="768"/>
      <c r="E132" s="769"/>
      <c r="F132" s="769"/>
      <c r="G132" s="768"/>
      <c r="H132" s="353"/>
      <c r="I132" s="1019"/>
      <c r="J132" s="1020"/>
      <c r="K132" s="1020"/>
      <c r="L132" s="1019"/>
      <c r="M132" s="353"/>
      <c r="N132" s="1028"/>
      <c r="O132" s="1029"/>
      <c r="P132" s="1029"/>
      <c r="Q132" s="1028"/>
      <c r="R132" s="353"/>
      <c r="S132" s="706"/>
      <c r="T132" s="706"/>
      <c r="U132" s="706"/>
      <c r="V132" s="706"/>
      <c r="W132" s="353"/>
      <c r="X132" s="1019"/>
      <c r="Y132" s="1020"/>
      <c r="Z132" s="1020"/>
      <c r="AA132" s="1019"/>
      <c r="AB132" s="423"/>
    </row>
    <row r="133" spans="1:29" ht="14.4" x14ac:dyDescent="0.3">
      <c r="A133" s="476"/>
      <c r="B133" s="1037"/>
      <c r="C133" s="289"/>
      <c r="D133" s="768"/>
      <c r="E133" s="769"/>
      <c r="F133" s="769"/>
      <c r="G133" s="768"/>
      <c r="H133" s="353"/>
      <c r="I133" s="1019"/>
      <c r="J133" s="1020"/>
      <c r="K133" s="1020"/>
      <c r="L133" s="1019"/>
      <c r="M133" s="353"/>
      <c r="N133" s="1028"/>
      <c r="O133" s="1029"/>
      <c r="P133" s="1029"/>
      <c r="Q133" s="1028"/>
      <c r="R133" s="353"/>
      <c r="S133" s="706"/>
      <c r="T133" s="706"/>
      <c r="U133" s="706"/>
      <c r="V133" s="706"/>
      <c r="W133" s="353"/>
      <c r="X133" s="1019"/>
      <c r="Y133" s="1020"/>
      <c r="Z133" s="1020"/>
      <c r="AA133" s="1019"/>
      <c r="AB133" s="423"/>
    </row>
    <row r="134" spans="1:29" ht="14.4" x14ac:dyDescent="0.3">
      <c r="A134" s="476"/>
      <c r="B134" s="1037"/>
      <c r="C134" s="289"/>
      <c r="D134" s="768"/>
      <c r="E134" s="769"/>
      <c r="F134" s="769"/>
      <c r="G134" s="768"/>
      <c r="H134" s="353"/>
      <c r="I134" s="1019"/>
      <c r="J134" s="1020"/>
      <c r="K134" s="1020"/>
      <c r="L134" s="1019"/>
      <c r="M134" s="353"/>
      <c r="N134" s="1028"/>
      <c r="O134" s="1029"/>
      <c r="P134" s="1029"/>
      <c r="Q134" s="1028"/>
      <c r="R134" s="353"/>
      <c r="S134" s="706"/>
      <c r="T134" s="706"/>
      <c r="U134" s="706"/>
      <c r="V134" s="706"/>
      <c r="W134" s="353"/>
      <c r="X134" s="1019"/>
      <c r="Y134" s="1020"/>
      <c r="Z134" s="1020"/>
      <c r="AA134" s="1019"/>
      <c r="AB134" s="423"/>
    </row>
    <row r="135" spans="1:29" ht="13.5" customHeight="1" x14ac:dyDescent="0.3">
      <c r="A135" s="476"/>
      <c r="B135" s="1037"/>
      <c r="C135" s="289"/>
      <c r="D135" s="768"/>
      <c r="E135" s="769"/>
      <c r="F135" s="769"/>
      <c r="G135" s="768"/>
      <c r="H135" s="353"/>
      <c r="I135" s="1019"/>
      <c r="J135" s="1020"/>
      <c r="K135" s="1020"/>
      <c r="L135" s="1019"/>
      <c r="M135" s="353"/>
      <c r="N135" s="1028"/>
      <c r="O135" s="1029"/>
      <c r="P135" s="1029"/>
      <c r="Q135" s="1028"/>
      <c r="R135" s="353"/>
      <c r="S135" s="706"/>
      <c r="T135" s="706"/>
      <c r="U135" s="706"/>
      <c r="V135" s="706"/>
      <c r="W135" s="353"/>
      <c r="X135" s="1019"/>
      <c r="Y135" s="1020"/>
      <c r="Z135" s="1020"/>
      <c r="AA135" s="1019"/>
      <c r="AB135" s="423"/>
    </row>
    <row r="136" spans="1:29" ht="14.4" x14ac:dyDescent="0.3">
      <c r="A136" s="476"/>
      <c r="B136" s="1037"/>
      <c r="C136" s="289"/>
      <c r="D136" s="768"/>
      <c r="E136" s="768"/>
      <c r="F136" s="768"/>
      <c r="G136" s="768"/>
      <c r="H136" s="353"/>
      <c r="I136" s="1019"/>
      <c r="J136" s="1019"/>
      <c r="K136" s="1019"/>
      <c r="L136" s="1019"/>
      <c r="M136" s="353"/>
      <c r="N136" s="1028"/>
      <c r="O136" s="1028"/>
      <c r="P136" s="1028"/>
      <c r="Q136" s="1028"/>
      <c r="R136" s="353"/>
      <c r="S136" s="706"/>
      <c r="T136" s="706"/>
      <c r="U136" s="706"/>
      <c r="V136" s="706"/>
      <c r="W136" s="353"/>
      <c r="X136" s="1019"/>
      <c r="Y136" s="1019"/>
      <c r="Z136" s="1019"/>
      <c r="AA136" s="1019"/>
      <c r="AB136" s="423"/>
    </row>
    <row r="137" spans="1:29" ht="14.4" x14ac:dyDescent="0.3">
      <c r="A137" s="476"/>
      <c r="B137" s="1037"/>
      <c r="C137" s="264"/>
      <c r="D137" s="1021" t="s">
        <v>253</v>
      </c>
      <c r="E137" s="1022"/>
      <c r="F137" s="1022"/>
      <c r="G137" s="1023"/>
      <c r="H137" s="293"/>
      <c r="I137" s="940" t="s">
        <v>254</v>
      </c>
      <c r="J137" s="941"/>
      <c r="K137" s="941"/>
      <c r="L137" s="942"/>
      <c r="M137" s="293"/>
      <c r="N137" s="1021" t="s">
        <v>255</v>
      </c>
      <c r="O137" s="1022"/>
      <c r="P137" s="1022"/>
      <c r="Q137" s="1024"/>
      <c r="R137" s="353"/>
      <c r="S137" s="1034" t="s">
        <v>256</v>
      </c>
      <c r="T137" s="1022"/>
      <c r="U137" s="1022"/>
      <c r="V137" s="1023"/>
      <c r="W137" s="293"/>
      <c r="X137" s="1021" t="s">
        <v>257</v>
      </c>
      <c r="Y137" s="1022"/>
      <c r="Z137" s="1022"/>
      <c r="AA137" s="1023"/>
      <c r="AB137" s="256"/>
    </row>
    <row r="138" spans="1:29" ht="14.4" x14ac:dyDescent="0.3">
      <c r="A138" s="476"/>
      <c r="B138" s="1037"/>
      <c r="C138" s="264"/>
      <c r="D138" s="737" t="s">
        <v>403</v>
      </c>
      <c r="E138" s="738"/>
      <c r="F138" s="738"/>
      <c r="G138" s="767"/>
      <c r="H138" s="354"/>
      <c r="I138" s="945" t="s">
        <v>404</v>
      </c>
      <c r="J138" s="946"/>
      <c r="K138" s="946"/>
      <c r="L138" s="947"/>
      <c r="M138" s="354"/>
      <c r="N138" s="1035" t="s">
        <v>405</v>
      </c>
      <c r="O138" s="1035"/>
      <c r="P138" s="910"/>
      <c r="Q138" s="910"/>
      <c r="R138" s="354"/>
      <c r="S138" s="1035" t="s">
        <v>406</v>
      </c>
      <c r="T138" s="1035"/>
      <c r="U138" s="910"/>
      <c r="V138" s="910"/>
      <c r="W138" s="354"/>
      <c r="X138" s="945" t="s">
        <v>520</v>
      </c>
      <c r="Y138" s="946"/>
      <c r="Z138" s="946"/>
      <c r="AA138" s="947"/>
      <c r="AB138" s="259"/>
    </row>
    <row r="139" spans="1:29" s="284" customFormat="1" ht="15" thickBot="1" x14ac:dyDescent="0.35">
      <c r="A139" s="484"/>
      <c r="B139" s="1037"/>
      <c r="C139" s="282"/>
      <c r="D139" s="726" t="s">
        <v>644</v>
      </c>
      <c r="E139" s="727"/>
      <c r="F139" s="728"/>
      <c r="G139" s="729"/>
      <c r="H139" s="301"/>
      <c r="I139" s="726" t="s">
        <v>645</v>
      </c>
      <c r="J139" s="727"/>
      <c r="K139" s="728"/>
      <c r="L139" s="729"/>
      <c r="M139" s="301"/>
      <c r="N139" s="726" t="s">
        <v>646</v>
      </c>
      <c r="O139" s="727"/>
      <c r="P139" s="728"/>
      <c r="Q139" s="729"/>
      <c r="R139" s="301"/>
      <c r="S139" s="726" t="s">
        <v>649</v>
      </c>
      <c r="T139" s="727"/>
      <c r="U139" s="728"/>
      <c r="V139" s="729"/>
      <c r="W139" s="301"/>
      <c r="X139" s="726" t="s">
        <v>650</v>
      </c>
      <c r="Y139" s="727"/>
      <c r="Z139" s="728"/>
      <c r="AA139" s="729"/>
      <c r="AB139" s="285"/>
      <c r="AC139" s="431"/>
    </row>
    <row r="140" spans="1:29" s="199" customFormat="1" ht="16.2" customHeight="1" thickBot="1" x14ac:dyDescent="0.35">
      <c r="A140" s="483"/>
      <c r="B140" s="1037"/>
      <c r="C140" s="264"/>
      <c r="D140" s="909">
        <f>(D84*2)+D373+I373</f>
        <v>2.0499999999999998</v>
      </c>
      <c r="E140" s="712"/>
      <c r="F140" s="713">
        <v>0</v>
      </c>
      <c r="G140" s="904"/>
      <c r="H140" s="293"/>
      <c r="I140" s="943">
        <f>(I84*2)+X251+D373+I373</f>
        <v>2.0999999999999996</v>
      </c>
      <c r="J140" s="944"/>
      <c r="K140" s="713">
        <v>0</v>
      </c>
      <c r="L140" s="904"/>
      <c r="M140" s="293"/>
      <c r="N140" s="909">
        <f>(N84*2)+D373+I373</f>
        <v>1.33</v>
      </c>
      <c r="O140" s="712"/>
      <c r="P140" s="713">
        <v>0</v>
      </c>
      <c r="Q140" s="904"/>
      <c r="R140" s="293"/>
      <c r="S140" s="909">
        <f>(D74*4)+(S84*2)+(D373*4)+(I373*4)</f>
        <v>4.4000000000000004</v>
      </c>
      <c r="T140" s="712"/>
      <c r="U140" s="713">
        <v>0</v>
      </c>
      <c r="V140" s="904"/>
      <c r="W140" s="293"/>
      <c r="X140" s="943">
        <f>X84+D94+N373+I373</f>
        <v>1.7600000000000002</v>
      </c>
      <c r="Y140" s="944"/>
      <c r="Z140" s="713">
        <v>0</v>
      </c>
      <c r="AA140" s="904"/>
      <c r="AB140" s="256"/>
      <c r="AC140" s="430"/>
    </row>
    <row r="141" spans="1:29" ht="10.199999999999999" customHeight="1" x14ac:dyDescent="0.3">
      <c r="A141" s="476"/>
      <c r="B141" s="1037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4.4" x14ac:dyDescent="0.3">
      <c r="A142" s="476"/>
      <c r="B142" s="1037"/>
      <c r="C142" s="289"/>
      <c r="D142" s="1027"/>
      <c r="E142" s="1028"/>
      <c r="F142" s="1028"/>
      <c r="G142" s="1028"/>
      <c r="H142" s="353"/>
      <c r="I142" s="706"/>
      <c r="J142" s="706"/>
      <c r="K142" s="706"/>
      <c r="L142" s="706"/>
      <c r="M142" s="353"/>
      <c r="N142" s="1005"/>
      <c r="O142" s="1006"/>
      <c r="P142" s="1006"/>
      <c r="Q142" s="1006"/>
      <c r="R142" s="343"/>
      <c r="S142" s="718"/>
      <c r="T142" s="718"/>
      <c r="U142" s="718"/>
      <c r="V142" s="718"/>
      <c r="W142" s="293"/>
      <c r="X142" s="718"/>
      <c r="Y142" s="718"/>
      <c r="Z142" s="718"/>
      <c r="AA142" s="718"/>
      <c r="AB142" s="256"/>
    </row>
    <row r="143" spans="1:29" ht="14.4" x14ac:dyDescent="0.3">
      <c r="A143" s="476"/>
      <c r="B143" s="1037"/>
      <c r="C143" s="289"/>
      <c r="D143" s="1028"/>
      <c r="E143" s="1029"/>
      <c r="F143" s="1029"/>
      <c r="G143" s="1028"/>
      <c r="H143" s="353"/>
      <c r="I143" s="1019"/>
      <c r="J143" s="1020"/>
      <c r="K143" s="1020"/>
      <c r="L143" s="1019"/>
      <c r="M143" s="353"/>
      <c r="N143" s="1006"/>
      <c r="O143" s="1007"/>
      <c r="P143" s="1007"/>
      <c r="Q143" s="1006"/>
      <c r="R143" s="343"/>
      <c r="S143" s="718"/>
      <c r="T143" s="718"/>
      <c r="U143" s="718"/>
      <c r="V143" s="718"/>
      <c r="W143" s="293"/>
      <c r="X143" s="718"/>
      <c r="Y143" s="718"/>
      <c r="Z143" s="718"/>
      <c r="AA143" s="718"/>
      <c r="AB143" s="256"/>
    </row>
    <row r="144" spans="1:29" ht="14.4" x14ac:dyDescent="0.3">
      <c r="A144" s="476"/>
      <c r="B144" s="1037"/>
      <c r="C144" s="289"/>
      <c r="D144" s="1028"/>
      <c r="E144" s="1029"/>
      <c r="F144" s="1029"/>
      <c r="G144" s="1028"/>
      <c r="H144" s="353"/>
      <c r="I144" s="1019"/>
      <c r="J144" s="1020"/>
      <c r="K144" s="1020"/>
      <c r="L144" s="1019"/>
      <c r="M144" s="353"/>
      <c r="N144" s="1006"/>
      <c r="O144" s="1007"/>
      <c r="P144" s="1007"/>
      <c r="Q144" s="1006"/>
      <c r="R144" s="343"/>
      <c r="S144" s="718"/>
      <c r="T144" s="718"/>
      <c r="U144" s="718"/>
      <c r="V144" s="718"/>
      <c r="W144" s="293"/>
      <c r="X144" s="718"/>
      <c r="Y144" s="718"/>
      <c r="Z144" s="718"/>
      <c r="AA144" s="718"/>
      <c r="AB144" s="256"/>
    </row>
    <row r="145" spans="1:29" ht="12" customHeight="1" x14ac:dyDescent="0.3">
      <c r="A145" s="476"/>
      <c r="B145" s="1037"/>
      <c r="C145" s="289"/>
      <c r="D145" s="1028"/>
      <c r="E145" s="1029"/>
      <c r="F145" s="1029"/>
      <c r="G145" s="1028"/>
      <c r="H145" s="353"/>
      <c r="I145" s="1019"/>
      <c r="J145" s="1020"/>
      <c r="K145" s="1020"/>
      <c r="L145" s="1019"/>
      <c r="M145" s="353"/>
      <c r="N145" s="1006"/>
      <c r="O145" s="1007"/>
      <c r="P145" s="1007"/>
      <c r="Q145" s="1006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4.4" x14ac:dyDescent="0.3">
      <c r="A146" s="476"/>
      <c r="B146" s="1037"/>
      <c r="C146" s="289"/>
      <c r="D146" s="1028"/>
      <c r="E146" s="1029"/>
      <c r="F146" s="1029"/>
      <c r="G146" s="1028"/>
      <c r="H146" s="353"/>
      <c r="I146" s="1019"/>
      <c r="J146" s="1020"/>
      <c r="K146" s="1020"/>
      <c r="L146" s="1019"/>
      <c r="M146" s="353"/>
      <c r="N146" s="1006"/>
      <c r="O146" s="1007"/>
      <c r="P146" s="1007"/>
      <c r="Q146" s="1006"/>
      <c r="R146" s="343"/>
      <c r="S146" s="718"/>
      <c r="T146" s="718"/>
      <c r="U146" s="718"/>
      <c r="V146" s="718"/>
      <c r="W146" s="293"/>
      <c r="X146" s="718"/>
      <c r="Y146" s="718"/>
      <c r="Z146" s="718"/>
      <c r="AA146" s="718"/>
      <c r="AB146" s="256"/>
    </row>
    <row r="147" spans="1:29" ht="14.4" x14ac:dyDescent="0.3">
      <c r="A147" s="476"/>
      <c r="B147" s="1037"/>
      <c r="C147" s="289"/>
      <c r="D147" s="1028"/>
      <c r="E147" s="1028"/>
      <c r="F147" s="1028"/>
      <c r="G147" s="1028"/>
      <c r="H147" s="353"/>
      <c r="I147" s="1019"/>
      <c r="J147" s="1019"/>
      <c r="K147" s="1019"/>
      <c r="L147" s="1019"/>
      <c r="M147" s="353"/>
      <c r="N147" s="1006"/>
      <c r="O147" s="1006"/>
      <c r="P147" s="1006"/>
      <c r="Q147" s="1006"/>
      <c r="R147" s="343"/>
      <c r="S147" s="718"/>
      <c r="T147" s="718"/>
      <c r="U147" s="718"/>
      <c r="V147" s="718"/>
      <c r="W147" s="293"/>
      <c r="X147" s="718"/>
      <c r="Y147" s="718"/>
      <c r="Z147" s="718"/>
      <c r="AA147" s="718"/>
      <c r="AB147" s="256"/>
    </row>
    <row r="148" spans="1:29" ht="14.4" x14ac:dyDescent="0.3">
      <c r="A148" s="476"/>
      <c r="B148" s="1037"/>
      <c r="C148" s="264"/>
      <c r="D148" s="1021" t="s">
        <v>258</v>
      </c>
      <c r="E148" s="1022"/>
      <c r="F148" s="1022"/>
      <c r="G148" s="1023"/>
      <c r="H148" s="293"/>
      <c r="I148" s="1021" t="s">
        <v>259</v>
      </c>
      <c r="J148" s="1022"/>
      <c r="K148" s="1022"/>
      <c r="L148" s="1023"/>
      <c r="M148" s="293"/>
      <c r="N148" s="940" t="s">
        <v>292</v>
      </c>
      <c r="O148" s="941"/>
      <c r="P148" s="941"/>
      <c r="Q148" s="942"/>
      <c r="R148" s="293"/>
      <c r="S148" s="778"/>
      <c r="T148" s="778"/>
      <c r="U148" s="778"/>
      <c r="V148" s="778"/>
      <c r="W148" s="293"/>
      <c r="X148" s="778"/>
      <c r="Y148" s="778"/>
      <c r="Z148" s="778"/>
      <c r="AA148" s="778"/>
      <c r="AB148" s="256"/>
    </row>
    <row r="149" spans="1:29" s="284" customFormat="1" ht="13.5" customHeight="1" x14ac:dyDescent="0.3">
      <c r="A149" s="484"/>
      <c r="B149" s="1037"/>
      <c r="C149" s="282"/>
      <c r="D149" s="761" t="s">
        <v>407</v>
      </c>
      <c r="E149" s="761"/>
      <c r="F149" s="762"/>
      <c r="G149" s="762"/>
      <c r="H149" s="347"/>
      <c r="I149" s="761" t="s">
        <v>519</v>
      </c>
      <c r="J149" s="761"/>
      <c r="K149" s="762"/>
      <c r="L149" s="762"/>
      <c r="M149" s="347"/>
      <c r="N149" s="911" t="s">
        <v>408</v>
      </c>
      <c r="O149" s="912"/>
      <c r="P149" s="912"/>
      <c r="Q149" s="913"/>
      <c r="R149" s="347"/>
      <c r="S149" s="1011"/>
      <c r="T149" s="1011"/>
      <c r="U149" s="1011"/>
      <c r="V149" s="1011"/>
      <c r="W149" s="347"/>
      <c r="X149" s="1011"/>
      <c r="Y149" s="1011"/>
      <c r="Z149" s="1011"/>
      <c r="AA149" s="1011"/>
      <c r="AB149" s="424"/>
      <c r="AC149" s="431"/>
    </row>
    <row r="150" spans="1:29" s="284" customFormat="1" ht="13.5" customHeight="1" thickBot="1" x14ac:dyDescent="0.35">
      <c r="A150" s="484"/>
      <c r="B150" s="1037"/>
      <c r="C150" s="282"/>
      <c r="D150" s="726" t="s">
        <v>663</v>
      </c>
      <c r="E150" s="727"/>
      <c r="F150" s="728"/>
      <c r="G150" s="729"/>
      <c r="H150" s="301"/>
      <c r="I150" s="726" t="s">
        <v>651</v>
      </c>
      <c r="J150" s="727"/>
      <c r="K150" s="728"/>
      <c r="L150" s="729"/>
      <c r="M150" s="301"/>
      <c r="N150" s="726" t="s">
        <v>664</v>
      </c>
      <c r="O150" s="727"/>
      <c r="P150" s="728"/>
      <c r="Q150" s="729"/>
      <c r="R150" s="301"/>
      <c r="S150" s="1011"/>
      <c r="T150" s="1011"/>
      <c r="U150" s="1011"/>
      <c r="V150" s="1011"/>
      <c r="W150" s="301"/>
      <c r="X150" s="1011"/>
      <c r="Y150" s="1011"/>
      <c r="Z150" s="1011"/>
      <c r="AA150" s="1011"/>
      <c r="AB150" s="285"/>
      <c r="AC150" s="431"/>
    </row>
    <row r="151" spans="1:29" s="199" customFormat="1" ht="16.2" customHeight="1" thickBot="1" x14ac:dyDescent="0.35">
      <c r="A151" s="483"/>
      <c r="B151" s="1037"/>
      <c r="C151" s="264"/>
      <c r="D151" s="909">
        <f>I94+N94+D373+I373</f>
        <v>1.7500000000000002</v>
      </c>
      <c r="E151" s="712"/>
      <c r="F151" s="713">
        <v>0</v>
      </c>
      <c r="G151" s="904"/>
      <c r="H151" s="293"/>
      <c r="I151" s="909">
        <f>S94*2+X251*2+D373+I373</f>
        <v>2.5499999999999998</v>
      </c>
      <c r="J151" s="712"/>
      <c r="K151" s="713">
        <v>0</v>
      </c>
      <c r="L151" s="904"/>
      <c r="M151" s="293"/>
      <c r="N151" s="943">
        <f>(X94*2)+(D373*2)+(I373*2)</f>
        <v>1.9</v>
      </c>
      <c r="O151" s="944"/>
      <c r="P151" s="713">
        <v>0</v>
      </c>
      <c r="Q151" s="904"/>
      <c r="R151" s="293"/>
      <c r="S151" s="915"/>
      <c r="T151" s="915"/>
      <c r="U151" s="862"/>
      <c r="V151" s="862"/>
      <c r="W151" s="293"/>
      <c r="X151" s="915"/>
      <c r="Y151" s="915"/>
      <c r="Z151" s="862"/>
      <c r="AA151" s="862"/>
      <c r="AB151" s="256"/>
      <c r="AC151" s="430"/>
    </row>
    <row r="152" spans="1:29" ht="27" customHeight="1" thickBot="1" x14ac:dyDescent="0.3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 x14ac:dyDescent="0.35">
      <c r="A153" s="477"/>
      <c r="B153" s="269"/>
      <c r="C153" s="269"/>
      <c r="D153" s="848" t="s">
        <v>613</v>
      </c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848"/>
      <c r="P153" s="848"/>
      <c r="Q153" s="848"/>
      <c r="R153" s="848"/>
      <c r="S153" s="848"/>
      <c r="T153" s="848"/>
      <c r="U153" s="848"/>
      <c r="V153" s="848"/>
      <c r="W153" s="848"/>
      <c r="X153" s="848"/>
      <c r="Y153" s="848"/>
      <c r="Z153" s="848"/>
      <c r="AA153" s="848"/>
      <c r="AB153" s="269"/>
      <c r="AC153" s="426"/>
    </row>
    <row r="154" spans="1:29" s="190" customFormat="1" ht="27" customHeight="1" x14ac:dyDescent="0.35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3.8" x14ac:dyDescent="0.25">
      <c r="A155" s="476"/>
      <c r="B155" s="254"/>
      <c r="C155" s="254"/>
      <c r="D155" s="743"/>
      <c r="E155" s="744"/>
      <c r="F155" s="744"/>
      <c r="G155" s="745"/>
      <c r="H155" s="293"/>
      <c r="I155" s="743"/>
      <c r="J155" s="744"/>
      <c r="K155" s="744"/>
      <c r="L155" s="745"/>
      <c r="M155" s="293"/>
      <c r="N155" s="743"/>
      <c r="O155" s="744"/>
      <c r="P155" s="744"/>
      <c r="Q155" s="745"/>
      <c r="R155" s="293"/>
      <c r="S155" s="743"/>
      <c r="T155" s="744"/>
      <c r="U155" s="744"/>
      <c r="V155" s="745"/>
      <c r="W155" s="293"/>
      <c r="X155" s="743"/>
      <c r="Y155" s="744"/>
      <c r="Z155" s="744"/>
      <c r="AA155" s="745"/>
      <c r="AB155" s="254"/>
    </row>
    <row r="156" spans="1:29" ht="12" customHeight="1" x14ac:dyDescent="0.25">
      <c r="A156" s="476"/>
      <c r="B156" s="254"/>
      <c r="C156" s="254"/>
      <c r="D156" s="705"/>
      <c r="E156" s="706"/>
      <c r="F156" s="706"/>
      <c r="G156" s="707"/>
      <c r="H156" s="293"/>
      <c r="I156" s="705"/>
      <c r="J156" s="706"/>
      <c r="K156" s="706"/>
      <c r="L156" s="707"/>
      <c r="M156" s="293"/>
      <c r="N156" s="705"/>
      <c r="O156" s="706"/>
      <c r="P156" s="706"/>
      <c r="Q156" s="707"/>
      <c r="R156" s="293"/>
      <c r="S156" s="705"/>
      <c r="T156" s="706"/>
      <c r="U156" s="706"/>
      <c r="V156" s="707"/>
      <c r="W156" s="293"/>
      <c r="X156" s="705"/>
      <c r="Y156" s="706"/>
      <c r="Z156" s="706"/>
      <c r="AA156" s="707"/>
      <c r="AB156" s="254"/>
    </row>
    <row r="157" spans="1:29" ht="13.5" customHeight="1" x14ac:dyDescent="0.25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 x14ac:dyDescent="0.25">
      <c r="A158" s="476"/>
      <c r="B158" s="254"/>
      <c r="C158" s="254"/>
      <c r="D158" s="705"/>
      <c r="E158" s="706"/>
      <c r="F158" s="706"/>
      <c r="G158" s="707"/>
      <c r="H158" s="293"/>
      <c r="I158" s="705"/>
      <c r="J158" s="706"/>
      <c r="K158" s="706"/>
      <c r="L158" s="707"/>
      <c r="M158" s="293"/>
      <c r="N158" s="705"/>
      <c r="O158" s="706"/>
      <c r="P158" s="706"/>
      <c r="Q158" s="707"/>
      <c r="R158" s="293"/>
      <c r="S158" s="705"/>
      <c r="T158" s="706"/>
      <c r="U158" s="706"/>
      <c r="V158" s="707"/>
      <c r="W158" s="293"/>
      <c r="X158" s="705"/>
      <c r="Y158" s="706"/>
      <c r="Z158" s="706"/>
      <c r="AA158" s="707"/>
      <c r="AB158" s="254"/>
    </row>
    <row r="159" spans="1:29" ht="13.5" customHeight="1" x14ac:dyDescent="0.25">
      <c r="A159" s="476"/>
      <c r="B159" s="254"/>
      <c r="C159" s="254"/>
      <c r="D159" s="705"/>
      <c r="E159" s="706"/>
      <c r="F159" s="706"/>
      <c r="G159" s="707"/>
      <c r="H159" s="293"/>
      <c r="I159" s="705"/>
      <c r="J159" s="706"/>
      <c r="K159" s="706"/>
      <c r="L159" s="707"/>
      <c r="M159" s="293"/>
      <c r="N159" s="705"/>
      <c r="O159" s="706"/>
      <c r="P159" s="706"/>
      <c r="Q159" s="707"/>
      <c r="R159" s="293"/>
      <c r="S159" s="705"/>
      <c r="T159" s="706"/>
      <c r="U159" s="706"/>
      <c r="V159" s="707"/>
      <c r="W159" s="293"/>
      <c r="X159" s="705"/>
      <c r="Y159" s="706"/>
      <c r="Z159" s="706"/>
      <c r="AA159" s="707"/>
      <c r="AB159" s="254"/>
    </row>
    <row r="160" spans="1:29" ht="13.5" customHeight="1" x14ac:dyDescent="0.25">
      <c r="A160" s="476"/>
      <c r="B160" s="254"/>
      <c r="C160" s="254"/>
      <c r="D160" s="705"/>
      <c r="E160" s="706"/>
      <c r="F160" s="706"/>
      <c r="G160" s="707"/>
      <c r="H160" s="293"/>
      <c r="I160" s="705"/>
      <c r="J160" s="706"/>
      <c r="K160" s="706"/>
      <c r="L160" s="707"/>
      <c r="M160" s="293"/>
      <c r="N160" s="705"/>
      <c r="O160" s="706"/>
      <c r="P160" s="706"/>
      <c r="Q160" s="707"/>
      <c r="R160" s="293"/>
      <c r="S160" s="705"/>
      <c r="T160" s="706"/>
      <c r="U160" s="706"/>
      <c r="V160" s="707"/>
      <c r="W160" s="293"/>
      <c r="X160" s="705"/>
      <c r="Y160" s="706"/>
      <c r="Z160" s="706"/>
      <c r="AA160" s="707"/>
      <c r="AB160" s="254"/>
    </row>
    <row r="161" spans="1:29" ht="13.5" customHeight="1" x14ac:dyDescent="0.25">
      <c r="A161" s="476"/>
      <c r="B161" s="254"/>
      <c r="C161" s="254"/>
      <c r="D161" s="746" t="s">
        <v>298</v>
      </c>
      <c r="E161" s="747"/>
      <c r="F161" s="747"/>
      <c r="G161" s="748"/>
      <c r="H161" s="293"/>
      <c r="I161" s="746" t="s">
        <v>299</v>
      </c>
      <c r="J161" s="747"/>
      <c r="K161" s="747"/>
      <c r="L161" s="748"/>
      <c r="M161" s="293"/>
      <c r="N161" s="746" t="s">
        <v>300</v>
      </c>
      <c r="O161" s="747"/>
      <c r="P161" s="747"/>
      <c r="Q161" s="748"/>
      <c r="R161" s="293"/>
      <c r="S161" s="746" t="s">
        <v>301</v>
      </c>
      <c r="T161" s="747"/>
      <c r="U161" s="747"/>
      <c r="V161" s="748"/>
      <c r="W161" s="293"/>
      <c r="X161" s="746" t="s">
        <v>302</v>
      </c>
      <c r="Y161" s="747"/>
      <c r="Z161" s="747"/>
      <c r="AA161" s="748"/>
      <c r="AB161" s="254"/>
    </row>
    <row r="162" spans="1:29" ht="16.2" customHeight="1" x14ac:dyDescent="0.3">
      <c r="A162" s="476"/>
      <c r="B162" s="256"/>
      <c r="C162" s="256"/>
      <c r="D162" s="749">
        <v>0.72</v>
      </c>
      <c r="E162" s="750"/>
      <c r="F162" s="751">
        <v>0</v>
      </c>
      <c r="G162" s="752"/>
      <c r="H162" s="293"/>
      <c r="I162" s="749">
        <v>1.1499999999999999</v>
      </c>
      <c r="J162" s="750"/>
      <c r="K162" s="751">
        <v>0</v>
      </c>
      <c r="L162" s="752"/>
      <c r="M162" s="293"/>
      <c r="N162" s="749">
        <v>1.2</v>
      </c>
      <c r="O162" s="750"/>
      <c r="P162" s="751">
        <v>0</v>
      </c>
      <c r="Q162" s="752"/>
      <c r="R162" s="293"/>
      <c r="S162" s="749">
        <v>1.07</v>
      </c>
      <c r="T162" s="750"/>
      <c r="U162" s="751">
        <v>0</v>
      </c>
      <c r="V162" s="752"/>
      <c r="W162" s="293"/>
      <c r="X162" s="749">
        <v>0.7</v>
      </c>
      <c r="Y162" s="750"/>
      <c r="Z162" s="751">
        <v>0</v>
      </c>
      <c r="AA162" s="752"/>
      <c r="AB162" s="256"/>
    </row>
    <row r="163" spans="1:29" s="500" customFormat="1" ht="16.2" customHeight="1" x14ac:dyDescent="0.25">
      <c r="A163" s="496"/>
      <c r="B163" s="593"/>
      <c r="C163" s="593"/>
      <c r="D163" s="635">
        <f>D162*G163</f>
        <v>162</v>
      </c>
      <c r="E163" s="596"/>
      <c r="F163" s="597" t="s">
        <v>295</v>
      </c>
      <c r="G163" s="598">
        <v>225</v>
      </c>
      <c r="H163" s="577"/>
      <c r="I163" s="635">
        <f>I162*L163</f>
        <v>172.5</v>
      </c>
      <c r="J163" s="596"/>
      <c r="K163" s="597" t="s">
        <v>295</v>
      </c>
      <c r="L163" s="598">
        <v>150</v>
      </c>
      <c r="M163" s="577"/>
      <c r="N163" s="635">
        <f>N162*Q163</f>
        <v>72</v>
      </c>
      <c r="O163" s="596"/>
      <c r="P163" s="597" t="s">
        <v>295</v>
      </c>
      <c r="Q163" s="598">
        <v>60</v>
      </c>
      <c r="R163" s="577"/>
      <c r="S163" s="635">
        <f>S162*V163</f>
        <v>160.5</v>
      </c>
      <c r="T163" s="596"/>
      <c r="U163" s="597" t="s">
        <v>295</v>
      </c>
      <c r="V163" s="598">
        <v>150</v>
      </c>
      <c r="W163" s="577"/>
      <c r="X163" s="635">
        <f>X162*AA163</f>
        <v>157.5</v>
      </c>
      <c r="Y163" s="596"/>
      <c r="Z163" s="597" t="s">
        <v>295</v>
      </c>
      <c r="AA163" s="598">
        <v>225</v>
      </c>
      <c r="AB163" s="593"/>
      <c r="AC163" s="499"/>
    </row>
    <row r="164" spans="1:29" s="193" customFormat="1" ht="10.199999999999999" customHeight="1" x14ac:dyDescent="0.25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7" customHeight="1" x14ac:dyDescent="0.25">
      <c r="A165" s="481"/>
      <c r="B165" s="254"/>
      <c r="C165" s="254"/>
      <c r="D165" s="720"/>
      <c r="E165" s="721"/>
      <c r="F165" s="721"/>
      <c r="G165" s="722"/>
      <c r="H165" s="293"/>
      <c r="I165" s="720"/>
      <c r="J165" s="721"/>
      <c r="K165" s="721"/>
      <c r="L165" s="722"/>
      <c r="M165" s="293"/>
      <c r="N165" s="720"/>
      <c r="O165" s="721"/>
      <c r="P165" s="721"/>
      <c r="Q165" s="722"/>
      <c r="R165" s="293"/>
      <c r="S165" s="720"/>
      <c r="T165" s="721"/>
      <c r="U165" s="721"/>
      <c r="V165" s="722"/>
      <c r="W165" s="293"/>
      <c r="X165" s="720"/>
      <c r="Y165" s="721"/>
      <c r="Z165" s="721"/>
      <c r="AA165" s="722"/>
      <c r="AB165" s="254"/>
      <c r="AC165" s="428"/>
    </row>
    <row r="166" spans="1:29" ht="13.5" customHeight="1" x14ac:dyDescent="0.25">
      <c r="A166" s="476"/>
      <c r="B166" s="254"/>
      <c r="C166" s="254"/>
      <c r="D166" s="723"/>
      <c r="E166" s="724"/>
      <c r="F166" s="724"/>
      <c r="G166" s="725"/>
      <c r="H166" s="293"/>
      <c r="I166" s="723"/>
      <c r="J166" s="724"/>
      <c r="K166" s="724"/>
      <c r="L166" s="725"/>
      <c r="M166" s="293"/>
      <c r="N166" s="723"/>
      <c r="O166" s="724"/>
      <c r="P166" s="724"/>
      <c r="Q166" s="725"/>
      <c r="R166" s="293"/>
      <c r="S166" s="723"/>
      <c r="T166" s="724"/>
      <c r="U166" s="724"/>
      <c r="V166" s="725"/>
      <c r="W166" s="293"/>
      <c r="X166" s="899"/>
      <c r="Y166" s="768"/>
      <c r="Z166" s="768"/>
      <c r="AA166" s="900"/>
      <c r="AB166" s="254"/>
    </row>
    <row r="167" spans="1:29" s="188" customFormat="1" ht="13.5" customHeight="1" x14ac:dyDescent="0.25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64"/>
      <c r="O167" s="665"/>
      <c r="P167" s="665"/>
      <c r="Q167" s="666"/>
      <c r="R167" s="293"/>
      <c r="S167" s="334"/>
      <c r="T167" s="335"/>
      <c r="U167" s="335"/>
      <c r="V167" s="336"/>
      <c r="W167" s="293"/>
      <c r="X167" s="899"/>
      <c r="Y167" s="768"/>
      <c r="Z167" s="768"/>
      <c r="AA167" s="900"/>
      <c r="AB167" s="254"/>
      <c r="AC167" s="206"/>
    </row>
    <row r="168" spans="1:29" ht="13.8" x14ac:dyDescent="0.25">
      <c r="A168" s="476"/>
      <c r="B168" s="254"/>
      <c r="C168" s="254"/>
      <c r="D168" s="723"/>
      <c r="E168" s="724"/>
      <c r="F168" s="724"/>
      <c r="G168" s="725"/>
      <c r="H168" s="293"/>
      <c r="I168" s="723"/>
      <c r="J168" s="724"/>
      <c r="K168" s="724"/>
      <c r="L168" s="725"/>
      <c r="M168" s="293"/>
      <c r="N168" s="723"/>
      <c r="O168" s="724"/>
      <c r="P168" s="724"/>
      <c r="Q168" s="725"/>
      <c r="R168" s="293"/>
      <c r="S168" s="723"/>
      <c r="T168" s="724"/>
      <c r="U168" s="724"/>
      <c r="V168" s="725"/>
      <c r="W168" s="293"/>
      <c r="X168" s="899"/>
      <c r="Y168" s="768"/>
      <c r="Z168" s="768"/>
      <c r="AA168" s="900"/>
      <c r="AB168" s="254"/>
    </row>
    <row r="169" spans="1:29" ht="13.8" x14ac:dyDescent="0.25">
      <c r="A169" s="476"/>
      <c r="B169" s="254"/>
      <c r="C169" s="254"/>
      <c r="D169" s="723"/>
      <c r="E169" s="724"/>
      <c r="F169" s="724"/>
      <c r="G169" s="725"/>
      <c r="H169" s="293"/>
      <c r="I169" s="723"/>
      <c r="J169" s="724"/>
      <c r="K169" s="724"/>
      <c r="L169" s="725"/>
      <c r="M169" s="293"/>
      <c r="N169" s="723"/>
      <c r="O169" s="724"/>
      <c r="P169" s="724"/>
      <c r="Q169" s="725"/>
      <c r="R169" s="293"/>
      <c r="S169" s="723"/>
      <c r="T169" s="724"/>
      <c r="U169" s="724"/>
      <c r="V169" s="725"/>
      <c r="W169" s="293"/>
      <c r="X169" s="899"/>
      <c r="Y169" s="768"/>
      <c r="Z169" s="768"/>
      <c r="AA169" s="900"/>
      <c r="AB169" s="254"/>
    </row>
    <row r="170" spans="1:29" ht="13.8" x14ac:dyDescent="0.25">
      <c r="A170" s="476"/>
      <c r="B170" s="254"/>
      <c r="C170" s="254"/>
      <c r="D170" s="723"/>
      <c r="E170" s="724"/>
      <c r="F170" s="724"/>
      <c r="G170" s="725"/>
      <c r="H170" s="293"/>
      <c r="I170" s="723"/>
      <c r="J170" s="724"/>
      <c r="K170" s="724"/>
      <c r="L170" s="725"/>
      <c r="M170" s="293"/>
      <c r="N170" s="723"/>
      <c r="O170" s="724"/>
      <c r="P170" s="724"/>
      <c r="Q170" s="725"/>
      <c r="R170" s="293"/>
      <c r="S170" s="723"/>
      <c r="T170" s="724"/>
      <c r="U170" s="724"/>
      <c r="V170" s="725"/>
      <c r="W170" s="293"/>
      <c r="X170" s="899"/>
      <c r="Y170" s="768"/>
      <c r="Z170" s="768"/>
      <c r="AA170" s="900"/>
      <c r="AB170" s="254"/>
    </row>
    <row r="171" spans="1:29" ht="13.8" x14ac:dyDescent="0.25">
      <c r="A171" s="476"/>
      <c r="B171" s="254"/>
      <c r="C171" s="254"/>
      <c r="D171" s="746" t="s">
        <v>303</v>
      </c>
      <c r="E171" s="747"/>
      <c r="F171" s="747"/>
      <c r="G171" s="748"/>
      <c r="H171" s="293"/>
      <c r="I171" s="746" t="s">
        <v>584</v>
      </c>
      <c r="J171" s="747"/>
      <c r="K171" s="747"/>
      <c r="L171" s="748"/>
      <c r="M171" s="293"/>
      <c r="N171" s="746" t="s">
        <v>304</v>
      </c>
      <c r="O171" s="747"/>
      <c r="P171" s="747"/>
      <c r="Q171" s="748"/>
      <c r="R171" s="293"/>
      <c r="S171" s="874" t="s">
        <v>585</v>
      </c>
      <c r="T171" s="875"/>
      <c r="U171" s="875"/>
      <c r="V171" s="876"/>
      <c r="W171" s="293"/>
      <c r="X171" s="874" t="s">
        <v>607</v>
      </c>
      <c r="Y171" s="875"/>
      <c r="Z171" s="875"/>
      <c r="AA171" s="876"/>
      <c r="AB171" s="254"/>
    </row>
    <row r="172" spans="1:29" ht="16.2" customHeight="1" x14ac:dyDescent="0.25">
      <c r="A172" s="476"/>
      <c r="B172" s="254"/>
      <c r="C172" s="254"/>
      <c r="D172" s="749">
        <v>0.7</v>
      </c>
      <c r="E172" s="750"/>
      <c r="F172" s="751">
        <v>0</v>
      </c>
      <c r="G172" s="752"/>
      <c r="H172" s="293"/>
      <c r="I172" s="749">
        <v>0.95</v>
      </c>
      <c r="J172" s="750"/>
      <c r="K172" s="751">
        <v>0</v>
      </c>
      <c r="L172" s="752"/>
      <c r="M172" s="293"/>
      <c r="N172" s="749">
        <v>0.76</v>
      </c>
      <c r="O172" s="750"/>
      <c r="P172" s="751">
        <v>0</v>
      </c>
      <c r="Q172" s="752"/>
      <c r="R172" s="293"/>
      <c r="S172" s="749">
        <v>0.91</v>
      </c>
      <c r="T172" s="750"/>
      <c r="U172" s="751">
        <v>0</v>
      </c>
      <c r="V172" s="752"/>
      <c r="W172" s="293"/>
      <c r="X172" s="749">
        <v>0.95</v>
      </c>
      <c r="Y172" s="750"/>
      <c r="Z172" s="751">
        <v>0</v>
      </c>
      <c r="AA172" s="752"/>
      <c r="AB172" s="254"/>
    </row>
    <row r="173" spans="1:29" s="500" customFormat="1" ht="16.2" customHeight="1" x14ac:dyDescent="0.25">
      <c r="A173" s="496"/>
      <c r="B173" s="593"/>
      <c r="C173" s="593"/>
      <c r="D173" s="635">
        <f>D172*G173</f>
        <v>157.5</v>
      </c>
      <c r="E173" s="596"/>
      <c r="F173" s="597" t="s">
        <v>295</v>
      </c>
      <c r="G173" s="598">
        <v>225</v>
      </c>
      <c r="H173" s="577"/>
      <c r="I173" s="635">
        <f>I172*L173</f>
        <v>171</v>
      </c>
      <c r="J173" s="596"/>
      <c r="K173" s="597" t="s">
        <v>295</v>
      </c>
      <c r="L173" s="598">
        <v>180</v>
      </c>
      <c r="M173" s="577"/>
      <c r="N173" s="635">
        <f>N172*Q173</f>
        <v>114</v>
      </c>
      <c r="O173" s="596"/>
      <c r="P173" s="597" t="s">
        <v>295</v>
      </c>
      <c r="Q173" s="598">
        <v>150</v>
      </c>
      <c r="R173" s="577"/>
      <c r="S173" s="635">
        <f>S172*V173</f>
        <v>204.75</v>
      </c>
      <c r="T173" s="596"/>
      <c r="U173" s="597" t="s">
        <v>295</v>
      </c>
      <c r="V173" s="598">
        <v>225</v>
      </c>
      <c r="W173" s="577"/>
      <c r="X173" s="638">
        <f>X172*AA173</f>
        <v>171</v>
      </c>
      <c r="Y173" s="609"/>
      <c r="Z173" s="610" t="s">
        <v>295</v>
      </c>
      <c r="AA173" s="611">
        <v>180</v>
      </c>
      <c r="AB173" s="593"/>
      <c r="AC173" s="499"/>
    </row>
    <row r="174" spans="1:29" ht="10.199999999999999" customHeight="1" x14ac:dyDescent="0.25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 x14ac:dyDescent="0.25">
      <c r="A175" s="476"/>
      <c r="B175" s="254"/>
      <c r="C175" s="254"/>
      <c r="D175" s="720"/>
      <c r="E175" s="721"/>
      <c r="F175" s="721"/>
      <c r="G175" s="722"/>
      <c r="H175" s="293"/>
      <c r="I175" s="720"/>
      <c r="J175" s="721"/>
      <c r="K175" s="721"/>
      <c r="L175" s="722"/>
      <c r="M175" s="293"/>
      <c r="N175" s="720"/>
      <c r="O175" s="721"/>
      <c r="P175" s="721"/>
      <c r="Q175" s="722"/>
      <c r="R175" s="293"/>
      <c r="S175" s="720"/>
      <c r="T175" s="721"/>
      <c r="U175" s="721"/>
      <c r="V175" s="722"/>
      <c r="W175" s="293"/>
      <c r="X175" s="720"/>
      <c r="Y175" s="721"/>
      <c r="Z175" s="721"/>
      <c r="AA175" s="722"/>
      <c r="AB175" s="254"/>
    </row>
    <row r="176" spans="1:29" ht="13.5" customHeight="1" x14ac:dyDescent="0.25">
      <c r="A176" s="476"/>
      <c r="B176" s="254"/>
      <c r="C176" s="254"/>
      <c r="D176" s="899"/>
      <c r="E176" s="768"/>
      <c r="F176" s="768"/>
      <c r="G176" s="900"/>
      <c r="H176" s="293"/>
      <c r="I176" s="723"/>
      <c r="J176" s="724"/>
      <c r="K176" s="724"/>
      <c r="L176" s="725"/>
      <c r="M176" s="293"/>
      <c r="N176" s="723"/>
      <c r="O176" s="724"/>
      <c r="P176" s="724"/>
      <c r="Q176" s="725"/>
      <c r="R176" s="293"/>
      <c r="S176" s="723"/>
      <c r="T176" s="724"/>
      <c r="U176" s="724"/>
      <c r="V176" s="725"/>
      <c r="W176" s="293"/>
      <c r="X176" s="723"/>
      <c r="Y176" s="724"/>
      <c r="Z176" s="724"/>
      <c r="AA176" s="725"/>
      <c r="AB176" s="254"/>
    </row>
    <row r="177" spans="1:29" ht="13.5" customHeight="1" x14ac:dyDescent="0.25">
      <c r="A177" s="476"/>
      <c r="B177" s="254"/>
      <c r="C177" s="254"/>
      <c r="D177" s="899"/>
      <c r="E177" s="768"/>
      <c r="F177" s="768"/>
      <c r="G177" s="900"/>
      <c r="H177" s="293"/>
      <c r="I177" s="664"/>
      <c r="J177" s="665"/>
      <c r="K177" s="665"/>
      <c r="L177" s="666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 x14ac:dyDescent="0.25">
      <c r="A178" s="476"/>
      <c r="B178" s="254"/>
      <c r="C178" s="254"/>
      <c r="D178" s="899"/>
      <c r="E178" s="768"/>
      <c r="F178" s="768"/>
      <c r="G178" s="900"/>
      <c r="H178" s="293"/>
      <c r="I178" s="723"/>
      <c r="J178" s="724"/>
      <c r="K178" s="724"/>
      <c r="L178" s="725"/>
      <c r="M178" s="293"/>
      <c r="N178" s="723"/>
      <c r="O178" s="724"/>
      <c r="P178" s="724"/>
      <c r="Q178" s="725"/>
      <c r="R178" s="293"/>
      <c r="S178" s="723"/>
      <c r="T178" s="724"/>
      <c r="U178" s="724"/>
      <c r="V178" s="725"/>
      <c r="W178" s="293"/>
      <c r="X178" s="723"/>
      <c r="Y178" s="724"/>
      <c r="Z178" s="724"/>
      <c r="AA178" s="725"/>
      <c r="AB178" s="254"/>
    </row>
    <row r="179" spans="1:29" ht="13.5" customHeight="1" x14ac:dyDescent="0.25">
      <c r="A179" s="476"/>
      <c r="B179" s="254"/>
      <c r="C179" s="254"/>
      <c r="D179" s="899"/>
      <c r="E179" s="768"/>
      <c r="F179" s="768"/>
      <c r="G179" s="900"/>
      <c r="H179" s="293"/>
      <c r="I179" s="723"/>
      <c r="J179" s="724"/>
      <c r="K179" s="724"/>
      <c r="L179" s="725"/>
      <c r="M179" s="293"/>
      <c r="N179" s="723"/>
      <c r="O179" s="724"/>
      <c r="P179" s="724"/>
      <c r="Q179" s="725"/>
      <c r="R179" s="293"/>
      <c r="S179" s="723"/>
      <c r="T179" s="724"/>
      <c r="U179" s="724"/>
      <c r="V179" s="725"/>
      <c r="W179" s="293"/>
      <c r="X179" s="723"/>
      <c r="Y179" s="724"/>
      <c r="Z179" s="724"/>
      <c r="AA179" s="725"/>
      <c r="AB179" s="254"/>
    </row>
    <row r="180" spans="1:29" ht="13.5" customHeight="1" x14ac:dyDescent="0.25">
      <c r="A180" s="476"/>
      <c r="B180" s="254"/>
      <c r="C180" s="254"/>
      <c r="D180" s="899"/>
      <c r="E180" s="768"/>
      <c r="F180" s="768"/>
      <c r="G180" s="900"/>
      <c r="H180" s="293"/>
      <c r="I180" s="723"/>
      <c r="J180" s="724"/>
      <c r="K180" s="724"/>
      <c r="L180" s="725"/>
      <c r="M180" s="293"/>
      <c r="N180" s="723"/>
      <c r="O180" s="724"/>
      <c r="P180" s="724"/>
      <c r="Q180" s="725"/>
      <c r="R180" s="293"/>
      <c r="S180" s="723"/>
      <c r="T180" s="724"/>
      <c r="U180" s="724"/>
      <c r="V180" s="725"/>
      <c r="W180" s="293"/>
      <c r="X180" s="723"/>
      <c r="Y180" s="724"/>
      <c r="Z180" s="724"/>
      <c r="AA180" s="725"/>
      <c r="AB180" s="254"/>
    </row>
    <row r="181" spans="1:29" ht="13.5" customHeight="1" x14ac:dyDescent="0.25">
      <c r="A181" s="476"/>
      <c r="B181" s="254"/>
      <c r="C181" s="254"/>
      <c r="D181" s="746" t="s">
        <v>582</v>
      </c>
      <c r="E181" s="747"/>
      <c r="F181" s="747"/>
      <c r="G181" s="748"/>
      <c r="H181" s="293"/>
      <c r="I181" s="874" t="s">
        <v>456</v>
      </c>
      <c r="J181" s="875"/>
      <c r="K181" s="875"/>
      <c r="L181" s="876"/>
      <c r="M181" s="293"/>
      <c r="N181" s="874" t="s">
        <v>305</v>
      </c>
      <c r="O181" s="875"/>
      <c r="P181" s="875"/>
      <c r="Q181" s="876"/>
      <c r="R181" s="293"/>
      <c r="S181" s="874" t="s">
        <v>583</v>
      </c>
      <c r="T181" s="875"/>
      <c r="U181" s="875"/>
      <c r="V181" s="876"/>
      <c r="W181" s="293"/>
      <c r="X181" s="874" t="s">
        <v>457</v>
      </c>
      <c r="Y181" s="875"/>
      <c r="Z181" s="875"/>
      <c r="AA181" s="876"/>
      <c r="AB181" s="254"/>
    </row>
    <row r="182" spans="1:29" ht="15.9" customHeight="1" x14ac:dyDescent="0.25">
      <c r="A182" s="476"/>
      <c r="B182" s="254"/>
      <c r="C182" s="254"/>
      <c r="D182" s="749">
        <v>0.95</v>
      </c>
      <c r="E182" s="750"/>
      <c r="F182" s="751">
        <v>0</v>
      </c>
      <c r="G182" s="752"/>
      <c r="H182" s="293"/>
      <c r="I182" s="749">
        <v>0.9</v>
      </c>
      <c r="J182" s="750"/>
      <c r="K182" s="751">
        <v>0</v>
      </c>
      <c r="L182" s="752"/>
      <c r="M182" s="293"/>
      <c r="N182" s="749">
        <v>0.85</v>
      </c>
      <c r="O182" s="750"/>
      <c r="P182" s="751">
        <v>0</v>
      </c>
      <c r="Q182" s="752"/>
      <c r="R182" s="293"/>
      <c r="S182" s="749">
        <v>0.95</v>
      </c>
      <c r="T182" s="750"/>
      <c r="U182" s="751">
        <v>0</v>
      </c>
      <c r="V182" s="752"/>
      <c r="W182" s="293"/>
      <c r="X182" s="749">
        <v>1</v>
      </c>
      <c r="Y182" s="750"/>
      <c r="Z182" s="751">
        <v>0</v>
      </c>
      <c r="AA182" s="752"/>
      <c r="AB182" s="254"/>
    </row>
    <row r="183" spans="1:29" s="500" customFormat="1" ht="16.2" customHeight="1" x14ac:dyDescent="0.25">
      <c r="A183" s="496"/>
      <c r="B183" s="497"/>
      <c r="C183" s="497"/>
      <c r="D183" s="635">
        <f>D182*G183</f>
        <v>232.75</v>
      </c>
      <c r="E183" s="596"/>
      <c r="F183" s="597" t="s">
        <v>295</v>
      </c>
      <c r="G183" s="598">
        <v>245</v>
      </c>
      <c r="H183" s="577"/>
      <c r="I183" s="635">
        <f>I182*L183</f>
        <v>162</v>
      </c>
      <c r="J183" s="596"/>
      <c r="K183" s="597" t="s">
        <v>295</v>
      </c>
      <c r="L183" s="598">
        <v>180</v>
      </c>
      <c r="M183" s="577"/>
      <c r="N183" s="635">
        <f>N182*Q183</f>
        <v>191.25</v>
      </c>
      <c r="O183" s="596"/>
      <c r="P183" s="597" t="s">
        <v>295</v>
      </c>
      <c r="Q183" s="598">
        <v>225</v>
      </c>
      <c r="R183" s="577"/>
      <c r="S183" s="635">
        <f>S182*V183</f>
        <v>228</v>
      </c>
      <c r="T183" s="596"/>
      <c r="U183" s="597" t="s">
        <v>295</v>
      </c>
      <c r="V183" s="598">
        <v>240</v>
      </c>
      <c r="W183" s="577"/>
      <c r="X183" s="638">
        <f>X182*AA183</f>
        <v>300</v>
      </c>
      <c r="Y183" s="609"/>
      <c r="Z183" s="610" t="s">
        <v>295</v>
      </c>
      <c r="AA183" s="611">
        <v>300</v>
      </c>
      <c r="AB183" s="497"/>
      <c r="AC183" s="499"/>
    </row>
    <row r="184" spans="1:29" ht="10.199999999999999" customHeight="1" x14ac:dyDescent="0.25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 x14ac:dyDescent="0.25">
      <c r="A185" s="476"/>
      <c r="B185" s="254"/>
      <c r="C185" s="254"/>
      <c r="D185" s="720"/>
      <c r="E185" s="721"/>
      <c r="F185" s="721"/>
      <c r="G185" s="722"/>
      <c r="H185" s="293"/>
      <c r="I185" s="720"/>
      <c r="J185" s="721"/>
      <c r="K185" s="721"/>
      <c r="L185" s="722"/>
      <c r="M185" s="293"/>
      <c r="N185" s="720"/>
      <c r="O185" s="721"/>
      <c r="P185" s="721"/>
      <c r="Q185" s="722"/>
      <c r="R185" s="293"/>
      <c r="S185" s="720"/>
      <c r="T185" s="721"/>
      <c r="U185" s="721"/>
      <c r="V185" s="722"/>
      <c r="W185" s="293"/>
      <c r="X185" s="720"/>
      <c r="Y185" s="721"/>
      <c r="Z185" s="721"/>
      <c r="AA185" s="722"/>
      <c r="AB185" s="254"/>
    </row>
    <row r="186" spans="1:29" ht="13.5" customHeight="1" x14ac:dyDescent="0.25">
      <c r="A186" s="476"/>
      <c r="B186" s="254"/>
      <c r="C186" s="254"/>
      <c r="D186" s="899"/>
      <c r="E186" s="768"/>
      <c r="F186" s="768"/>
      <c r="G186" s="900"/>
      <c r="H186" s="293"/>
      <c r="I186" s="723"/>
      <c r="J186" s="724"/>
      <c r="K186" s="724"/>
      <c r="L186" s="725"/>
      <c r="M186" s="293"/>
      <c r="N186" s="723"/>
      <c r="O186" s="724"/>
      <c r="P186" s="724"/>
      <c r="Q186" s="725"/>
      <c r="R186" s="293"/>
      <c r="S186" s="723"/>
      <c r="T186" s="724"/>
      <c r="U186" s="724"/>
      <c r="V186" s="725"/>
      <c r="W186" s="293"/>
      <c r="X186" s="723"/>
      <c r="Y186" s="724"/>
      <c r="Z186" s="724"/>
      <c r="AA186" s="725"/>
      <c r="AB186" s="254"/>
    </row>
    <row r="187" spans="1:29" ht="13.5" customHeight="1" x14ac:dyDescent="0.25">
      <c r="A187" s="476"/>
      <c r="B187" s="254"/>
      <c r="C187" s="254"/>
      <c r="D187" s="899"/>
      <c r="E187" s="768"/>
      <c r="F187" s="768"/>
      <c r="G187" s="900"/>
      <c r="H187" s="293"/>
      <c r="I187" s="664"/>
      <c r="J187" s="665"/>
      <c r="K187" s="665"/>
      <c r="L187" s="666"/>
      <c r="M187" s="293"/>
      <c r="N187" s="664"/>
      <c r="O187" s="665"/>
      <c r="P187" s="665"/>
      <c r="Q187" s="666"/>
      <c r="R187" s="293"/>
      <c r="S187" s="664"/>
      <c r="T187" s="665"/>
      <c r="U187" s="665"/>
      <c r="V187" s="666"/>
      <c r="W187" s="293"/>
      <c r="X187" s="664"/>
      <c r="Y187" s="665"/>
      <c r="Z187" s="665"/>
      <c r="AA187" s="666"/>
      <c r="AB187" s="254"/>
    </row>
    <row r="188" spans="1:29" ht="13.5" customHeight="1" x14ac:dyDescent="0.25">
      <c r="A188" s="476"/>
      <c r="B188" s="254"/>
      <c r="C188" s="254"/>
      <c r="D188" s="899"/>
      <c r="E188" s="768"/>
      <c r="F188" s="768"/>
      <c r="G188" s="900"/>
      <c r="H188" s="293"/>
      <c r="I188" s="723"/>
      <c r="J188" s="724"/>
      <c r="K188" s="724"/>
      <c r="L188" s="725"/>
      <c r="M188" s="293"/>
      <c r="N188" s="723"/>
      <c r="O188" s="724"/>
      <c r="P188" s="724"/>
      <c r="Q188" s="725"/>
      <c r="R188" s="293"/>
      <c r="S188" s="723"/>
      <c r="T188" s="724"/>
      <c r="U188" s="724"/>
      <c r="V188" s="725"/>
      <c r="W188" s="293"/>
      <c r="X188" s="723"/>
      <c r="Y188" s="724"/>
      <c r="Z188" s="724"/>
      <c r="AA188" s="725"/>
      <c r="AB188" s="254"/>
    </row>
    <row r="189" spans="1:29" ht="13.5" customHeight="1" x14ac:dyDescent="0.25">
      <c r="A189" s="476"/>
      <c r="B189" s="254"/>
      <c r="C189" s="254"/>
      <c r="D189" s="899"/>
      <c r="E189" s="768"/>
      <c r="F189" s="768"/>
      <c r="G189" s="900"/>
      <c r="H189" s="293"/>
      <c r="I189" s="723"/>
      <c r="J189" s="724"/>
      <c r="K189" s="724"/>
      <c r="L189" s="725"/>
      <c r="M189" s="293"/>
      <c r="N189" s="723"/>
      <c r="O189" s="724"/>
      <c r="P189" s="724"/>
      <c r="Q189" s="725"/>
      <c r="R189" s="293"/>
      <c r="S189" s="723"/>
      <c r="T189" s="724"/>
      <c r="U189" s="724"/>
      <c r="V189" s="725"/>
      <c r="W189" s="293"/>
      <c r="X189" s="723"/>
      <c r="Y189" s="724"/>
      <c r="Z189" s="724"/>
      <c r="AA189" s="725"/>
      <c r="AB189" s="254"/>
    </row>
    <row r="190" spans="1:29" ht="13.5" customHeight="1" x14ac:dyDescent="0.25">
      <c r="A190" s="476"/>
      <c r="B190" s="254"/>
      <c r="C190" s="254"/>
      <c r="D190" s="899"/>
      <c r="E190" s="768"/>
      <c r="F190" s="768"/>
      <c r="G190" s="900"/>
      <c r="H190" s="293"/>
      <c r="I190" s="723"/>
      <c r="J190" s="724"/>
      <c r="K190" s="724"/>
      <c r="L190" s="725"/>
      <c r="M190" s="293"/>
      <c r="N190" s="723"/>
      <c r="O190" s="724"/>
      <c r="P190" s="724"/>
      <c r="Q190" s="725"/>
      <c r="R190" s="293"/>
      <c r="S190" s="723"/>
      <c r="T190" s="724"/>
      <c r="U190" s="724"/>
      <c r="V190" s="725"/>
      <c r="W190" s="293"/>
      <c r="X190" s="723"/>
      <c r="Y190" s="724"/>
      <c r="Z190" s="724"/>
      <c r="AA190" s="725"/>
      <c r="AB190" s="254"/>
    </row>
    <row r="191" spans="1:29" ht="13.5" customHeight="1" x14ac:dyDescent="0.25">
      <c r="A191" s="476"/>
      <c r="B191" s="254"/>
      <c r="C191" s="254"/>
      <c r="D191" s="746" t="s">
        <v>458</v>
      </c>
      <c r="E191" s="747"/>
      <c r="F191" s="747"/>
      <c r="G191" s="748"/>
      <c r="H191" s="293"/>
      <c r="I191" s="746" t="s">
        <v>459</v>
      </c>
      <c r="J191" s="747"/>
      <c r="K191" s="747"/>
      <c r="L191" s="748"/>
      <c r="M191" s="293"/>
      <c r="N191" s="746" t="s">
        <v>460</v>
      </c>
      <c r="O191" s="747"/>
      <c r="P191" s="747"/>
      <c r="Q191" s="748"/>
      <c r="R191" s="293"/>
      <c r="S191" s="746" t="s">
        <v>461</v>
      </c>
      <c r="T191" s="747"/>
      <c r="U191" s="747"/>
      <c r="V191" s="748"/>
      <c r="W191" s="293"/>
      <c r="X191" s="746" t="s">
        <v>306</v>
      </c>
      <c r="Y191" s="747"/>
      <c r="Z191" s="747"/>
      <c r="AA191" s="748"/>
      <c r="AB191" s="254"/>
    </row>
    <row r="192" spans="1:29" ht="15.9" customHeight="1" x14ac:dyDescent="0.25">
      <c r="A192" s="476"/>
      <c r="B192" s="254"/>
      <c r="C192" s="254"/>
      <c r="D192" s="749">
        <v>1</v>
      </c>
      <c r="E192" s="750"/>
      <c r="F192" s="751">
        <v>0</v>
      </c>
      <c r="G192" s="752"/>
      <c r="H192" s="293"/>
      <c r="I192" s="753">
        <v>0.92</v>
      </c>
      <c r="J192" s="754"/>
      <c r="K192" s="1012">
        <v>0</v>
      </c>
      <c r="L192" s="1013"/>
      <c r="M192" s="293"/>
      <c r="N192" s="753">
        <v>0.92</v>
      </c>
      <c r="O192" s="754"/>
      <c r="P192" s="1012">
        <v>0</v>
      </c>
      <c r="Q192" s="1013"/>
      <c r="R192" s="293"/>
      <c r="S192" s="753">
        <v>1.05</v>
      </c>
      <c r="T192" s="754"/>
      <c r="U192" s="1012">
        <v>0</v>
      </c>
      <c r="V192" s="1013"/>
      <c r="W192" s="293"/>
      <c r="X192" s="753">
        <v>1.22</v>
      </c>
      <c r="Y192" s="754"/>
      <c r="Z192" s="1012">
        <v>0</v>
      </c>
      <c r="AA192" s="1013"/>
      <c r="AB192" s="254"/>
    </row>
    <row r="193" spans="1:29" s="500" customFormat="1" ht="16.2" customHeight="1" x14ac:dyDescent="0.25">
      <c r="A193" s="496"/>
      <c r="B193" s="497"/>
      <c r="C193" s="497"/>
      <c r="D193" s="635">
        <f>D192*G193</f>
        <v>300</v>
      </c>
      <c r="E193" s="596"/>
      <c r="F193" s="597" t="s">
        <v>295</v>
      </c>
      <c r="G193" s="598">
        <v>300</v>
      </c>
      <c r="H193" s="577"/>
      <c r="I193" s="635">
        <f>I192*L193</f>
        <v>133.4</v>
      </c>
      <c r="J193" s="596"/>
      <c r="K193" s="597" t="s">
        <v>295</v>
      </c>
      <c r="L193" s="598">
        <v>145</v>
      </c>
      <c r="M193" s="577"/>
      <c r="N193" s="635">
        <f>N192*Q193</f>
        <v>133.4</v>
      </c>
      <c r="O193" s="596"/>
      <c r="P193" s="597" t="s">
        <v>295</v>
      </c>
      <c r="Q193" s="598">
        <v>145</v>
      </c>
      <c r="R193" s="577"/>
      <c r="S193" s="635">
        <f>S192*V193</f>
        <v>105</v>
      </c>
      <c r="T193" s="596"/>
      <c r="U193" s="597" t="s">
        <v>295</v>
      </c>
      <c r="V193" s="598">
        <v>100</v>
      </c>
      <c r="W193" s="577"/>
      <c r="X193" s="635">
        <f>X192*AA193</f>
        <v>122</v>
      </c>
      <c r="Y193" s="596"/>
      <c r="Z193" s="597" t="s">
        <v>295</v>
      </c>
      <c r="AA193" s="598">
        <v>100</v>
      </c>
      <c r="AB193" s="497"/>
      <c r="AC193" s="499"/>
    </row>
    <row r="194" spans="1:29" ht="27" customHeight="1" thickBot="1" x14ac:dyDescent="0.3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 x14ac:dyDescent="0.35">
      <c r="A195" s="482"/>
      <c r="B195" s="412"/>
      <c r="C195" s="268"/>
      <c r="D195" s="848" t="s">
        <v>614</v>
      </c>
      <c r="E195" s="848"/>
      <c r="F195" s="848"/>
      <c r="G195" s="848"/>
      <c r="H195" s="848"/>
      <c r="I195" s="848"/>
      <c r="J195" s="848"/>
      <c r="K195" s="848"/>
      <c r="L195" s="848"/>
      <c r="M195" s="848"/>
      <c r="N195" s="848"/>
      <c r="O195" s="848"/>
      <c r="P195" s="848"/>
      <c r="Q195" s="848"/>
      <c r="R195" s="848"/>
      <c r="S195" s="848"/>
      <c r="T195" s="848"/>
      <c r="U195" s="848"/>
      <c r="V195" s="848"/>
      <c r="W195" s="848"/>
      <c r="X195" s="848"/>
      <c r="Y195" s="848"/>
      <c r="Z195" s="848"/>
      <c r="AA195" s="848"/>
      <c r="AB195" s="412"/>
      <c r="AC195" s="429"/>
    </row>
    <row r="196" spans="1:29" ht="27" customHeight="1" x14ac:dyDescent="0.4">
      <c r="A196" s="476"/>
      <c r="B196" s="254"/>
      <c r="C196" s="254"/>
      <c r="D196" s="938" t="s">
        <v>281</v>
      </c>
      <c r="E196" s="938"/>
      <c r="F196" s="938"/>
      <c r="G196" s="938"/>
      <c r="H196" s="938"/>
      <c r="I196" s="938"/>
      <c r="J196" s="938"/>
      <c r="K196" s="938"/>
      <c r="L196" s="938"/>
      <c r="M196" s="938"/>
      <c r="N196" s="938"/>
      <c r="O196" s="938"/>
      <c r="P196" s="938"/>
      <c r="Q196" s="938"/>
      <c r="R196" s="938"/>
      <c r="S196" s="938"/>
      <c r="T196" s="938"/>
      <c r="U196" s="938"/>
      <c r="V196" s="938"/>
      <c r="W196" s="938"/>
      <c r="X196" s="938"/>
      <c r="Y196" s="938"/>
      <c r="Z196" s="938"/>
      <c r="AA196" s="938"/>
      <c r="AB196" s="422"/>
    </row>
    <row r="197" spans="1:29" s="190" customFormat="1" ht="18" x14ac:dyDescent="0.35">
      <c r="A197" s="477"/>
      <c r="B197" s="254"/>
      <c r="C197" s="254"/>
      <c r="D197" s="720"/>
      <c r="E197" s="721"/>
      <c r="F197" s="721"/>
      <c r="G197" s="722"/>
      <c r="H197" s="293"/>
      <c r="I197" s="720"/>
      <c r="J197" s="721"/>
      <c r="K197" s="721"/>
      <c r="L197" s="722"/>
      <c r="M197" s="293"/>
      <c r="N197" s="720"/>
      <c r="O197" s="721"/>
      <c r="P197" s="721"/>
      <c r="Q197" s="722"/>
      <c r="R197" s="293"/>
      <c r="S197" s="720"/>
      <c r="T197" s="721"/>
      <c r="U197" s="721"/>
      <c r="V197" s="722"/>
      <c r="W197" s="293"/>
      <c r="X197" s="720"/>
      <c r="Y197" s="721"/>
      <c r="Z197" s="721"/>
      <c r="AA197" s="722"/>
      <c r="AB197" s="254"/>
      <c r="AC197" s="426"/>
    </row>
    <row r="198" spans="1:29" s="188" customFormat="1" ht="13.5" customHeight="1" x14ac:dyDescent="0.25">
      <c r="A198" s="254"/>
      <c r="B198" s="254"/>
      <c r="C198" s="254"/>
      <c r="D198" s="705"/>
      <c r="E198" s="706"/>
      <c r="F198" s="706"/>
      <c r="G198" s="707"/>
      <c r="H198" s="293"/>
      <c r="I198" s="705"/>
      <c r="J198" s="706"/>
      <c r="K198" s="706"/>
      <c r="L198" s="707"/>
      <c r="M198" s="293"/>
      <c r="N198" s="705"/>
      <c r="O198" s="706"/>
      <c r="P198" s="706"/>
      <c r="Q198" s="707"/>
      <c r="R198" s="293"/>
      <c r="S198" s="705"/>
      <c r="T198" s="706"/>
      <c r="U198" s="706"/>
      <c r="V198" s="707"/>
      <c r="W198" s="293"/>
      <c r="X198" s="705"/>
      <c r="Y198" s="706"/>
      <c r="Z198" s="706"/>
      <c r="AA198" s="707"/>
      <c r="AB198" s="254"/>
      <c r="AC198" s="206"/>
    </row>
    <row r="199" spans="1:29" ht="13.8" x14ac:dyDescent="0.25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3.8" x14ac:dyDescent="0.25">
      <c r="A200" s="476"/>
      <c r="B200" s="254"/>
      <c r="C200" s="254"/>
      <c r="D200" s="705"/>
      <c r="E200" s="706"/>
      <c r="F200" s="706"/>
      <c r="G200" s="707"/>
      <c r="H200" s="293"/>
      <c r="I200" s="705"/>
      <c r="J200" s="706"/>
      <c r="K200" s="706"/>
      <c r="L200" s="707"/>
      <c r="M200" s="293"/>
      <c r="N200" s="705"/>
      <c r="O200" s="706"/>
      <c r="P200" s="706"/>
      <c r="Q200" s="707"/>
      <c r="R200" s="293"/>
      <c r="S200" s="705"/>
      <c r="T200" s="706"/>
      <c r="U200" s="706"/>
      <c r="V200" s="707"/>
      <c r="W200" s="293"/>
      <c r="X200" s="705"/>
      <c r="Y200" s="706"/>
      <c r="Z200" s="706"/>
      <c r="AA200" s="707"/>
      <c r="AB200" s="254"/>
    </row>
    <row r="201" spans="1:29" ht="13.8" x14ac:dyDescent="0.25">
      <c r="A201" s="476"/>
      <c r="B201" s="254"/>
      <c r="C201" s="254"/>
      <c r="D201" s="705"/>
      <c r="E201" s="706"/>
      <c r="F201" s="706"/>
      <c r="G201" s="707"/>
      <c r="H201" s="293"/>
      <c r="I201" s="705"/>
      <c r="J201" s="706"/>
      <c r="K201" s="706"/>
      <c r="L201" s="707"/>
      <c r="M201" s="293"/>
      <c r="N201" s="705"/>
      <c r="O201" s="706"/>
      <c r="P201" s="706"/>
      <c r="Q201" s="707"/>
      <c r="R201" s="293"/>
      <c r="S201" s="705"/>
      <c r="T201" s="706"/>
      <c r="U201" s="706"/>
      <c r="V201" s="707"/>
      <c r="W201" s="293"/>
      <c r="X201" s="705"/>
      <c r="Y201" s="706"/>
      <c r="Z201" s="706"/>
      <c r="AA201" s="707"/>
      <c r="AB201" s="254"/>
    </row>
    <row r="202" spans="1:29" ht="13.8" x14ac:dyDescent="0.25">
      <c r="A202" s="476"/>
      <c r="B202" s="254"/>
      <c r="C202" s="254"/>
      <c r="D202" s="708"/>
      <c r="E202" s="709"/>
      <c r="F202" s="709"/>
      <c r="G202" s="710"/>
      <c r="H202" s="293"/>
      <c r="I202" s="708"/>
      <c r="J202" s="709"/>
      <c r="K202" s="709"/>
      <c r="L202" s="710"/>
      <c r="M202" s="293"/>
      <c r="N202" s="708"/>
      <c r="O202" s="709"/>
      <c r="P202" s="709"/>
      <c r="Q202" s="710"/>
      <c r="R202" s="293"/>
      <c r="S202" s="708"/>
      <c r="T202" s="709"/>
      <c r="U202" s="709"/>
      <c r="V202" s="710"/>
      <c r="W202" s="293"/>
      <c r="X202" s="708"/>
      <c r="Y202" s="709"/>
      <c r="Z202" s="709"/>
      <c r="AA202" s="710"/>
      <c r="AB202" s="254"/>
    </row>
    <row r="203" spans="1:29" ht="13.8" x14ac:dyDescent="0.25">
      <c r="A203" s="476"/>
      <c r="B203" s="254"/>
      <c r="C203" s="254"/>
      <c r="D203" s="755" t="s">
        <v>307</v>
      </c>
      <c r="E203" s="756"/>
      <c r="F203" s="756"/>
      <c r="G203" s="757"/>
      <c r="H203" s="293"/>
      <c r="I203" s="755" t="s">
        <v>308</v>
      </c>
      <c r="J203" s="756"/>
      <c r="K203" s="756"/>
      <c r="L203" s="757"/>
      <c r="M203" s="293"/>
      <c r="N203" s="755" t="s">
        <v>309</v>
      </c>
      <c r="O203" s="756"/>
      <c r="P203" s="756"/>
      <c r="Q203" s="757"/>
      <c r="R203" s="293"/>
      <c r="S203" s="755" t="s">
        <v>311</v>
      </c>
      <c r="T203" s="756"/>
      <c r="U203" s="756"/>
      <c r="V203" s="757"/>
      <c r="W203" s="293"/>
      <c r="X203" s="755" t="s">
        <v>312</v>
      </c>
      <c r="Y203" s="756"/>
      <c r="Z203" s="756"/>
      <c r="AA203" s="757"/>
      <c r="AB203" s="254"/>
    </row>
    <row r="204" spans="1:29" s="284" customFormat="1" ht="13.5" customHeight="1" x14ac:dyDescent="0.25">
      <c r="A204" s="484"/>
      <c r="B204" s="286"/>
      <c r="C204" s="286"/>
      <c r="D204" s="762" t="s">
        <v>605</v>
      </c>
      <c r="E204" s="762"/>
      <c r="F204" s="762"/>
      <c r="G204" s="762"/>
      <c r="H204" s="347"/>
      <c r="I204" s="914" t="s">
        <v>604</v>
      </c>
      <c r="J204" s="728"/>
      <c r="K204" s="728"/>
      <c r="L204" s="729"/>
      <c r="M204" s="347"/>
      <c r="N204" s="1008" t="s">
        <v>603</v>
      </c>
      <c r="O204" s="1009"/>
      <c r="P204" s="1009"/>
      <c r="Q204" s="1010"/>
      <c r="R204" s="347"/>
      <c r="S204" s="914" t="s">
        <v>602</v>
      </c>
      <c r="T204" s="728"/>
      <c r="U204" s="728"/>
      <c r="V204" s="729"/>
      <c r="W204" s="347"/>
      <c r="X204" s="914" t="s">
        <v>601</v>
      </c>
      <c r="Y204" s="728"/>
      <c r="Z204" s="728"/>
      <c r="AA204" s="729"/>
      <c r="AB204" s="286"/>
      <c r="AC204" s="431"/>
    </row>
    <row r="205" spans="1:29" s="284" customFormat="1" ht="13.5" customHeight="1" x14ac:dyDescent="0.3">
      <c r="A205" s="484"/>
      <c r="B205" s="285"/>
      <c r="C205" s="285"/>
      <c r="D205" s="726" t="s">
        <v>636</v>
      </c>
      <c r="E205" s="727"/>
      <c r="F205" s="727"/>
      <c r="G205" s="730"/>
      <c r="H205" s="301"/>
      <c r="I205" s="726" t="s">
        <v>638</v>
      </c>
      <c r="J205" s="727"/>
      <c r="K205" s="727"/>
      <c r="L205" s="730"/>
      <c r="M205" s="301"/>
      <c r="N205" s="726" t="s">
        <v>639</v>
      </c>
      <c r="O205" s="727"/>
      <c r="P205" s="727"/>
      <c r="Q205" s="730"/>
      <c r="R205" s="301"/>
      <c r="S205" s="726" t="s">
        <v>640</v>
      </c>
      <c r="T205" s="727"/>
      <c r="U205" s="727"/>
      <c r="V205" s="730"/>
      <c r="W205" s="301"/>
      <c r="X205" s="726" t="s">
        <v>660</v>
      </c>
      <c r="Y205" s="727"/>
      <c r="Z205" s="727"/>
      <c r="AA205" s="730"/>
      <c r="AB205" s="285"/>
      <c r="AC205" s="431"/>
    </row>
    <row r="206" spans="1:29" s="200" customFormat="1" ht="16.2" customHeight="1" thickBot="1" x14ac:dyDescent="0.35">
      <c r="A206" s="485"/>
      <c r="B206" s="254"/>
      <c r="C206" s="254"/>
      <c r="D206" s="741">
        <f>(D162*2)+D384+I384</f>
        <v>1.62</v>
      </c>
      <c r="E206" s="742"/>
      <c r="F206" s="716">
        <v>0</v>
      </c>
      <c r="G206" s="717"/>
      <c r="H206" s="293"/>
      <c r="I206" s="741">
        <f>I162+N162+(D384*2)+(I384*2)</f>
        <v>2.71</v>
      </c>
      <c r="J206" s="742"/>
      <c r="K206" s="716">
        <v>0</v>
      </c>
      <c r="L206" s="717"/>
      <c r="M206" s="293"/>
      <c r="N206" s="741">
        <f>(I162*2)+S162+(D384*3)+(I384*3)</f>
        <v>3.91</v>
      </c>
      <c r="O206" s="742"/>
      <c r="P206" s="716">
        <v>0</v>
      </c>
      <c r="Q206" s="717"/>
      <c r="R206" s="293"/>
      <c r="S206" s="741">
        <f>(S162*2)+(D384*2)+(I384*2)</f>
        <v>2.5000000000000004</v>
      </c>
      <c r="T206" s="742"/>
      <c r="U206" s="716">
        <v>0</v>
      </c>
      <c r="V206" s="717"/>
      <c r="W206" s="293"/>
      <c r="X206" s="741">
        <f>(I162*4)+(D384*4)+(I384*4)</f>
        <v>5.32</v>
      </c>
      <c r="Y206" s="742"/>
      <c r="Z206" s="716">
        <v>0</v>
      </c>
      <c r="AA206" s="717"/>
      <c r="AB206" s="254"/>
      <c r="AC206" s="432"/>
    </row>
    <row r="207" spans="1:29" s="199" customFormat="1" ht="10.199999999999999" customHeight="1" x14ac:dyDescent="0.25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 x14ac:dyDescent="0.25">
      <c r="A208" s="483"/>
      <c r="B208" s="254"/>
      <c r="C208" s="254"/>
      <c r="D208" s="743"/>
      <c r="E208" s="744"/>
      <c r="F208" s="744"/>
      <c r="G208" s="745"/>
      <c r="H208" s="293"/>
      <c r="I208" s="743"/>
      <c r="J208" s="744"/>
      <c r="K208" s="744"/>
      <c r="L208" s="745"/>
      <c r="M208" s="293"/>
      <c r="N208" s="743"/>
      <c r="O208" s="744"/>
      <c r="P208" s="744"/>
      <c r="Q208" s="745"/>
      <c r="R208" s="293"/>
      <c r="S208" s="743"/>
      <c r="T208" s="744"/>
      <c r="U208" s="744"/>
      <c r="V208" s="745"/>
      <c r="W208" s="293"/>
      <c r="X208" s="720"/>
      <c r="Y208" s="721"/>
      <c r="Z208" s="721"/>
      <c r="AA208" s="722"/>
      <c r="AB208" s="254"/>
      <c r="AC208" s="430"/>
    </row>
    <row r="209" spans="1:29" ht="13.8" x14ac:dyDescent="0.25">
      <c r="A209" s="476"/>
      <c r="B209" s="254"/>
      <c r="C209" s="254"/>
      <c r="D209" s="705"/>
      <c r="E209" s="706"/>
      <c r="F209" s="706"/>
      <c r="G209" s="707"/>
      <c r="H209" s="293"/>
      <c r="I209" s="705"/>
      <c r="J209" s="706"/>
      <c r="K209" s="706"/>
      <c r="L209" s="707"/>
      <c r="M209" s="293"/>
      <c r="N209" s="705"/>
      <c r="O209" s="706"/>
      <c r="P209" s="706"/>
      <c r="Q209" s="707"/>
      <c r="R209" s="293"/>
      <c r="S209" s="705"/>
      <c r="T209" s="706"/>
      <c r="U209" s="706"/>
      <c r="V209" s="707"/>
      <c r="W209" s="293"/>
      <c r="X209" s="899"/>
      <c r="Y209" s="768"/>
      <c r="Z209" s="768"/>
      <c r="AA209" s="900"/>
      <c r="AB209" s="254"/>
    </row>
    <row r="210" spans="1:29" ht="13.8" x14ac:dyDescent="0.25">
      <c r="A210" s="476"/>
      <c r="B210" s="254"/>
      <c r="C210" s="254"/>
      <c r="D210" s="705"/>
      <c r="E210" s="706"/>
      <c r="F210" s="706"/>
      <c r="G210" s="707"/>
      <c r="H210" s="293"/>
      <c r="I210" s="705"/>
      <c r="J210" s="706"/>
      <c r="K210" s="706"/>
      <c r="L210" s="707"/>
      <c r="M210" s="293"/>
      <c r="N210" s="705"/>
      <c r="O210" s="706"/>
      <c r="P210" s="706"/>
      <c r="Q210" s="707"/>
      <c r="R210" s="293"/>
      <c r="S210" s="705"/>
      <c r="T210" s="706"/>
      <c r="U210" s="706"/>
      <c r="V210" s="707"/>
      <c r="W210" s="293"/>
      <c r="X210" s="899"/>
      <c r="Y210" s="768"/>
      <c r="Z210" s="768"/>
      <c r="AA210" s="900"/>
      <c r="AB210" s="254"/>
    </row>
    <row r="211" spans="1:29" ht="13.8" x14ac:dyDescent="0.25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60"/>
      <c r="O211" s="661"/>
      <c r="P211" s="661"/>
      <c r="Q211" s="662"/>
      <c r="R211" s="293"/>
      <c r="S211" s="316"/>
      <c r="T211" s="317"/>
      <c r="U211" s="317"/>
      <c r="V211" s="318"/>
      <c r="W211" s="293"/>
      <c r="X211" s="899"/>
      <c r="Y211" s="768"/>
      <c r="Z211" s="768"/>
      <c r="AA211" s="900"/>
      <c r="AB211" s="254"/>
    </row>
    <row r="212" spans="1:29" ht="13.8" x14ac:dyDescent="0.25">
      <c r="A212" s="476"/>
      <c r="B212" s="254"/>
      <c r="C212" s="254"/>
      <c r="D212" s="705"/>
      <c r="E212" s="706"/>
      <c r="F212" s="706"/>
      <c r="G212" s="707"/>
      <c r="H212" s="293"/>
      <c r="I212" s="705"/>
      <c r="J212" s="706"/>
      <c r="K212" s="706"/>
      <c r="L212" s="707"/>
      <c r="M212" s="293"/>
      <c r="N212" s="705"/>
      <c r="O212" s="706"/>
      <c r="P212" s="706"/>
      <c r="Q212" s="707"/>
      <c r="R212" s="293"/>
      <c r="S212" s="705"/>
      <c r="T212" s="706"/>
      <c r="U212" s="706"/>
      <c r="V212" s="707"/>
      <c r="W212" s="293"/>
      <c r="X212" s="899"/>
      <c r="Y212" s="768"/>
      <c r="Z212" s="768"/>
      <c r="AA212" s="900"/>
      <c r="AB212" s="254"/>
    </row>
    <row r="213" spans="1:29" ht="13.5" customHeight="1" x14ac:dyDescent="0.25">
      <c r="A213" s="476"/>
      <c r="B213" s="254"/>
      <c r="C213" s="254"/>
      <c r="D213" s="708"/>
      <c r="E213" s="709"/>
      <c r="F213" s="709"/>
      <c r="G213" s="710"/>
      <c r="H213" s="293"/>
      <c r="I213" s="708"/>
      <c r="J213" s="709"/>
      <c r="K213" s="709"/>
      <c r="L213" s="710"/>
      <c r="M213" s="293"/>
      <c r="N213" s="708"/>
      <c r="O213" s="709"/>
      <c r="P213" s="709"/>
      <c r="Q213" s="710"/>
      <c r="R213" s="293"/>
      <c r="S213" s="708"/>
      <c r="T213" s="709"/>
      <c r="U213" s="709"/>
      <c r="V213" s="710"/>
      <c r="W213" s="293"/>
      <c r="X213" s="901"/>
      <c r="Y213" s="902"/>
      <c r="Z213" s="902"/>
      <c r="AA213" s="903"/>
      <c r="AB213" s="254"/>
    </row>
    <row r="214" spans="1:29" ht="13.8" x14ac:dyDescent="0.25">
      <c r="A214" s="476"/>
      <c r="B214" s="254"/>
      <c r="C214" s="254"/>
      <c r="D214" s="755" t="s">
        <v>316</v>
      </c>
      <c r="E214" s="756"/>
      <c r="F214" s="756"/>
      <c r="G214" s="757"/>
      <c r="H214" s="293"/>
      <c r="I214" s="758" t="s">
        <v>598</v>
      </c>
      <c r="J214" s="759"/>
      <c r="K214" s="759"/>
      <c r="L214" s="760"/>
      <c r="M214" s="293"/>
      <c r="N214" s="755" t="s">
        <v>315</v>
      </c>
      <c r="O214" s="756"/>
      <c r="P214" s="756"/>
      <c r="Q214" s="757"/>
      <c r="R214" s="293"/>
      <c r="S214" s="758" t="s">
        <v>596</v>
      </c>
      <c r="T214" s="759"/>
      <c r="U214" s="759"/>
      <c r="V214" s="760"/>
      <c r="W214" s="293"/>
      <c r="X214" s="755" t="s">
        <v>588</v>
      </c>
      <c r="Y214" s="756"/>
      <c r="Z214" s="756"/>
      <c r="AA214" s="757"/>
      <c r="AB214" s="254"/>
    </row>
    <row r="215" spans="1:29" s="284" customFormat="1" ht="13.5" customHeight="1" x14ac:dyDescent="0.25">
      <c r="A215" s="484"/>
      <c r="B215" s="283"/>
      <c r="C215" s="283"/>
      <c r="D215" s="1000" t="s">
        <v>600</v>
      </c>
      <c r="E215" s="1001"/>
      <c r="F215" s="1001"/>
      <c r="G215" s="1002"/>
      <c r="H215" s="347"/>
      <c r="I215" s="1000" t="s">
        <v>599</v>
      </c>
      <c r="J215" s="1001"/>
      <c r="K215" s="1001"/>
      <c r="L215" s="1002"/>
      <c r="M215" s="347"/>
      <c r="N215" s="914" t="s">
        <v>291</v>
      </c>
      <c r="O215" s="728"/>
      <c r="P215" s="728"/>
      <c r="Q215" s="729"/>
      <c r="R215" s="347"/>
      <c r="S215" s="914" t="s">
        <v>597</v>
      </c>
      <c r="T215" s="728"/>
      <c r="U215" s="728"/>
      <c r="V215" s="729"/>
      <c r="W215" s="347"/>
      <c r="X215" s="911" t="s">
        <v>589</v>
      </c>
      <c r="Y215" s="912"/>
      <c r="Z215" s="912"/>
      <c r="AA215" s="913"/>
      <c r="AB215" s="283"/>
      <c r="AC215" s="431"/>
    </row>
    <row r="216" spans="1:29" s="284" customFormat="1" ht="13.5" customHeight="1" x14ac:dyDescent="0.3">
      <c r="A216" s="484"/>
      <c r="B216" s="285"/>
      <c r="C216" s="285"/>
      <c r="D216" s="726" t="s">
        <v>647</v>
      </c>
      <c r="E216" s="727"/>
      <c r="F216" s="727"/>
      <c r="G216" s="730"/>
      <c r="H216" s="301"/>
      <c r="I216" s="726" t="s">
        <v>648</v>
      </c>
      <c r="J216" s="727"/>
      <c r="K216" s="728"/>
      <c r="L216" s="729"/>
      <c r="M216" s="301"/>
      <c r="N216" s="726" t="s">
        <v>641</v>
      </c>
      <c r="O216" s="727"/>
      <c r="P216" s="727"/>
      <c r="Q216" s="730"/>
      <c r="R216" s="301"/>
      <c r="S216" s="726" t="s">
        <v>642</v>
      </c>
      <c r="T216" s="727"/>
      <c r="U216" s="727"/>
      <c r="V216" s="730"/>
      <c r="W216" s="301"/>
      <c r="X216" s="726" t="s">
        <v>643</v>
      </c>
      <c r="Y216" s="727"/>
      <c r="Z216" s="728"/>
      <c r="AA216" s="729"/>
      <c r="AB216" s="285"/>
      <c r="AC216" s="431"/>
    </row>
    <row r="217" spans="1:29" s="199" customFormat="1" ht="16.2" customHeight="1" thickBot="1" x14ac:dyDescent="0.3">
      <c r="A217" s="483"/>
      <c r="B217" s="254"/>
      <c r="C217" s="254"/>
      <c r="D217" s="741">
        <f>(X162*2)+(D172*2)+(D384*2)+(I384*2)</f>
        <v>3.16</v>
      </c>
      <c r="E217" s="742"/>
      <c r="F217" s="716">
        <v>0</v>
      </c>
      <c r="G217" s="717"/>
      <c r="H217" s="293"/>
      <c r="I217" s="741">
        <f>(I172*2)+(D172*2)+(D384*3)+(I384*3)</f>
        <v>3.84</v>
      </c>
      <c r="J217" s="742"/>
      <c r="K217" s="716">
        <v>0</v>
      </c>
      <c r="L217" s="717"/>
      <c r="M217" s="293"/>
      <c r="N217" s="741">
        <f>(N172*2)+I384+D384</f>
        <v>1.7000000000000002</v>
      </c>
      <c r="O217" s="742"/>
      <c r="P217" s="716">
        <v>0</v>
      </c>
      <c r="Q217" s="717"/>
      <c r="R217" s="293"/>
      <c r="S217" s="870">
        <f>(S172*2)+D384+I384</f>
        <v>2</v>
      </c>
      <c r="T217" s="871"/>
      <c r="U217" s="765">
        <v>0</v>
      </c>
      <c r="V217" s="766"/>
      <c r="W217" s="293"/>
      <c r="X217" s="865">
        <f>X172+D182+D384+I384</f>
        <v>2.08</v>
      </c>
      <c r="Y217" s="866"/>
      <c r="Z217" s="716">
        <v>0</v>
      </c>
      <c r="AA217" s="717"/>
      <c r="AB217" s="254"/>
      <c r="AC217" s="430"/>
    </row>
    <row r="218" spans="1:29" s="199" customFormat="1" ht="10.199999999999999" customHeight="1" x14ac:dyDescent="0.25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7"/>
      <c r="O218" s="667"/>
      <c r="P218" s="663"/>
      <c r="Q218" s="663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 x14ac:dyDescent="0.25">
      <c r="A219" s="483"/>
      <c r="B219" s="254"/>
      <c r="C219" s="254"/>
      <c r="D219" s="743"/>
      <c r="E219" s="744"/>
      <c r="F219" s="744"/>
      <c r="G219" s="745"/>
      <c r="H219" s="293"/>
      <c r="I219" s="743"/>
      <c r="J219" s="744"/>
      <c r="K219" s="744"/>
      <c r="L219" s="745"/>
      <c r="M219" s="293"/>
      <c r="N219" s="743"/>
      <c r="O219" s="744"/>
      <c r="P219" s="744"/>
      <c r="Q219" s="745"/>
      <c r="R219" s="293"/>
      <c r="S219" s="743"/>
      <c r="T219" s="744"/>
      <c r="U219" s="744"/>
      <c r="V219" s="745"/>
      <c r="W219" s="293"/>
      <c r="X219" s="720"/>
      <c r="Y219" s="721"/>
      <c r="Z219" s="721"/>
      <c r="AA219" s="722"/>
      <c r="AB219" s="254"/>
      <c r="AC219" s="430"/>
    </row>
    <row r="220" spans="1:29" s="199" customFormat="1" ht="13.5" customHeight="1" x14ac:dyDescent="0.25">
      <c r="A220" s="483"/>
      <c r="B220" s="254"/>
      <c r="C220" s="254"/>
      <c r="D220" s="705"/>
      <c r="E220" s="706"/>
      <c r="F220" s="706"/>
      <c r="G220" s="707"/>
      <c r="H220" s="293"/>
      <c r="I220" s="705"/>
      <c r="J220" s="706"/>
      <c r="K220" s="706"/>
      <c r="L220" s="707"/>
      <c r="M220" s="293"/>
      <c r="N220" s="705"/>
      <c r="O220" s="706"/>
      <c r="P220" s="706"/>
      <c r="Q220" s="707"/>
      <c r="R220" s="293"/>
      <c r="S220" s="705"/>
      <c r="T220" s="706"/>
      <c r="U220" s="706"/>
      <c r="V220" s="707"/>
      <c r="W220" s="293"/>
      <c r="X220" s="723"/>
      <c r="Y220" s="724"/>
      <c r="Z220" s="724"/>
      <c r="AA220" s="725"/>
      <c r="AB220" s="254"/>
      <c r="AC220" s="430"/>
    </row>
    <row r="221" spans="1:29" s="199" customFormat="1" ht="13.5" customHeight="1" x14ac:dyDescent="0.25">
      <c r="A221" s="483"/>
      <c r="B221" s="254"/>
      <c r="C221" s="254"/>
      <c r="D221" s="705"/>
      <c r="E221" s="706"/>
      <c r="F221" s="706"/>
      <c r="G221" s="707"/>
      <c r="H221" s="293"/>
      <c r="I221" s="705"/>
      <c r="J221" s="706"/>
      <c r="K221" s="706"/>
      <c r="L221" s="707"/>
      <c r="M221" s="293"/>
      <c r="N221" s="705"/>
      <c r="O221" s="706"/>
      <c r="P221" s="706"/>
      <c r="Q221" s="707"/>
      <c r="R221" s="293"/>
      <c r="S221" s="705"/>
      <c r="T221" s="706"/>
      <c r="U221" s="706"/>
      <c r="V221" s="707"/>
      <c r="W221" s="293"/>
      <c r="X221" s="723"/>
      <c r="Y221" s="724"/>
      <c r="Z221" s="724"/>
      <c r="AA221" s="725"/>
      <c r="AB221" s="254"/>
      <c r="AC221" s="430"/>
    </row>
    <row r="222" spans="1:29" s="199" customFormat="1" ht="13.5" customHeight="1" x14ac:dyDescent="0.25">
      <c r="A222" s="483"/>
      <c r="B222" s="254"/>
      <c r="C222" s="254"/>
      <c r="D222" s="316"/>
      <c r="E222" s="317"/>
      <c r="F222" s="317"/>
      <c r="G222" s="318"/>
      <c r="H222" s="293"/>
      <c r="I222" s="660"/>
      <c r="J222" s="661"/>
      <c r="K222" s="661"/>
      <c r="L222" s="662"/>
      <c r="M222" s="293"/>
      <c r="N222" s="660"/>
      <c r="O222" s="661"/>
      <c r="P222" s="661"/>
      <c r="Q222" s="662"/>
      <c r="R222" s="293"/>
      <c r="S222" s="660"/>
      <c r="T222" s="661"/>
      <c r="U222" s="661"/>
      <c r="V222" s="662"/>
      <c r="W222" s="293"/>
      <c r="X222" s="723"/>
      <c r="Y222" s="724"/>
      <c r="Z222" s="724"/>
      <c r="AA222" s="725"/>
      <c r="AB222" s="254"/>
      <c r="AC222" s="430"/>
    </row>
    <row r="223" spans="1:29" s="199" customFormat="1" ht="13.5" customHeight="1" x14ac:dyDescent="0.25">
      <c r="A223" s="483"/>
      <c r="B223" s="254"/>
      <c r="C223" s="254"/>
      <c r="D223" s="705"/>
      <c r="E223" s="706"/>
      <c r="F223" s="706"/>
      <c r="G223" s="707"/>
      <c r="H223" s="293"/>
      <c r="I223" s="705"/>
      <c r="J223" s="706"/>
      <c r="K223" s="706"/>
      <c r="L223" s="707"/>
      <c r="M223" s="293"/>
      <c r="N223" s="705"/>
      <c r="O223" s="706"/>
      <c r="P223" s="706"/>
      <c r="Q223" s="707"/>
      <c r="R223" s="293"/>
      <c r="S223" s="705"/>
      <c r="T223" s="706"/>
      <c r="U223" s="706"/>
      <c r="V223" s="707"/>
      <c r="W223" s="293"/>
      <c r="X223" s="723"/>
      <c r="Y223" s="724"/>
      <c r="Z223" s="724"/>
      <c r="AA223" s="725"/>
      <c r="AB223" s="254"/>
      <c r="AC223" s="430"/>
    </row>
    <row r="224" spans="1:29" s="199" customFormat="1" ht="13.5" customHeight="1" x14ac:dyDescent="0.25">
      <c r="A224" s="483"/>
      <c r="B224" s="254"/>
      <c r="C224" s="254"/>
      <c r="D224" s="708"/>
      <c r="E224" s="709"/>
      <c r="F224" s="709"/>
      <c r="G224" s="710"/>
      <c r="H224" s="293"/>
      <c r="I224" s="708"/>
      <c r="J224" s="709"/>
      <c r="K224" s="709"/>
      <c r="L224" s="710"/>
      <c r="M224" s="293"/>
      <c r="N224" s="708"/>
      <c r="O224" s="709"/>
      <c r="P224" s="709"/>
      <c r="Q224" s="710"/>
      <c r="R224" s="293"/>
      <c r="S224" s="708"/>
      <c r="T224" s="709"/>
      <c r="U224" s="709"/>
      <c r="V224" s="710"/>
      <c r="W224" s="293"/>
      <c r="X224" s="773"/>
      <c r="Y224" s="774"/>
      <c r="Z224" s="774"/>
      <c r="AA224" s="775"/>
      <c r="AB224" s="254"/>
      <c r="AC224" s="430"/>
    </row>
    <row r="225" spans="1:29" s="199" customFormat="1" ht="13.5" customHeight="1" x14ac:dyDescent="0.25">
      <c r="A225" s="483"/>
      <c r="B225" s="254"/>
      <c r="C225" s="254"/>
      <c r="D225" s="755" t="s">
        <v>587</v>
      </c>
      <c r="E225" s="756"/>
      <c r="F225" s="756"/>
      <c r="G225" s="757"/>
      <c r="H225" s="293"/>
      <c r="I225" s="755" t="s">
        <v>462</v>
      </c>
      <c r="J225" s="756"/>
      <c r="K225" s="756"/>
      <c r="L225" s="757"/>
      <c r="M225" s="293"/>
      <c r="N225" s="758" t="s">
        <v>314</v>
      </c>
      <c r="O225" s="759"/>
      <c r="P225" s="759"/>
      <c r="Q225" s="760"/>
      <c r="R225" s="293"/>
      <c r="S225" s="758" t="s">
        <v>586</v>
      </c>
      <c r="T225" s="759"/>
      <c r="U225" s="759"/>
      <c r="V225" s="760"/>
      <c r="W225" s="293"/>
      <c r="X225" s="758" t="s">
        <v>474</v>
      </c>
      <c r="Y225" s="759"/>
      <c r="Z225" s="759"/>
      <c r="AA225" s="760"/>
      <c r="AB225" s="254"/>
      <c r="AC225" s="430"/>
    </row>
    <row r="226" spans="1:29" s="287" customFormat="1" ht="13.5" customHeight="1" x14ac:dyDescent="0.25">
      <c r="A226" s="486"/>
      <c r="B226" s="260"/>
      <c r="C226" s="260"/>
      <c r="D226" s="737" t="s">
        <v>595</v>
      </c>
      <c r="E226" s="738"/>
      <c r="F226" s="738"/>
      <c r="G226" s="767"/>
      <c r="H226" s="346"/>
      <c r="I226" s="883" t="s">
        <v>594</v>
      </c>
      <c r="J226" s="883"/>
      <c r="K226" s="884"/>
      <c r="L226" s="884"/>
      <c r="M226" s="346"/>
      <c r="N226" s="726" t="s">
        <v>593</v>
      </c>
      <c r="O226" s="727"/>
      <c r="P226" s="727"/>
      <c r="Q226" s="730"/>
      <c r="R226" s="346"/>
      <c r="S226" s="1014" t="s">
        <v>592</v>
      </c>
      <c r="T226" s="1014"/>
      <c r="U226" s="1015"/>
      <c r="V226" s="1015"/>
      <c r="W226" s="347"/>
      <c r="X226" s="1016" t="s">
        <v>662</v>
      </c>
      <c r="Y226" s="1017"/>
      <c r="Z226" s="1017"/>
      <c r="AA226" s="1018"/>
      <c r="AB226" s="260"/>
      <c r="AC226" s="433"/>
    </row>
    <row r="227" spans="1:29" s="287" customFormat="1" ht="13.5" customHeight="1" x14ac:dyDescent="0.25">
      <c r="A227" s="486"/>
      <c r="B227" s="260"/>
      <c r="C227" s="260"/>
      <c r="D227" s="726" t="s">
        <v>644</v>
      </c>
      <c r="E227" s="727"/>
      <c r="F227" s="728"/>
      <c r="G227" s="729"/>
      <c r="H227" s="346"/>
      <c r="I227" s="726" t="s">
        <v>645</v>
      </c>
      <c r="J227" s="727"/>
      <c r="K227" s="727"/>
      <c r="L227" s="730"/>
      <c r="M227" s="346"/>
      <c r="N227" s="726" t="s">
        <v>646</v>
      </c>
      <c r="O227" s="727"/>
      <c r="P227" s="727"/>
      <c r="Q227" s="730"/>
      <c r="R227" s="346"/>
      <c r="S227" s="726" t="s">
        <v>649</v>
      </c>
      <c r="T227" s="727"/>
      <c r="U227" s="728"/>
      <c r="V227" s="729"/>
      <c r="W227" s="301"/>
      <c r="X227" s="726" t="s">
        <v>650</v>
      </c>
      <c r="Y227" s="727"/>
      <c r="Z227" s="727"/>
      <c r="AA227" s="730"/>
      <c r="AB227" s="260"/>
      <c r="AC227" s="433"/>
    </row>
    <row r="228" spans="1:29" s="199" customFormat="1" ht="16.2" customHeight="1" thickBot="1" x14ac:dyDescent="0.3">
      <c r="A228" s="483"/>
      <c r="B228" s="254"/>
      <c r="C228" s="254"/>
      <c r="D228" s="865">
        <f>(D182*2)+D384+I384</f>
        <v>2.08</v>
      </c>
      <c r="E228" s="866"/>
      <c r="F228" s="716">
        <v>0</v>
      </c>
      <c r="G228" s="717"/>
      <c r="H228" s="293"/>
      <c r="I228" s="741">
        <f>(I182*2)+X251+D384+I384</f>
        <v>2.2299999999999995</v>
      </c>
      <c r="J228" s="742"/>
      <c r="K228" s="716">
        <v>0</v>
      </c>
      <c r="L228" s="717"/>
      <c r="M228" s="293"/>
      <c r="N228" s="735">
        <f>(N182*2)+D384+I384</f>
        <v>1.8800000000000001</v>
      </c>
      <c r="O228" s="736"/>
      <c r="P228" s="733">
        <v>0</v>
      </c>
      <c r="Q228" s="734"/>
      <c r="R228" s="293"/>
      <c r="S228" s="731">
        <f>(D172*4)+(S182*2)+(D384*4)+(I384*4)</f>
        <v>5.42</v>
      </c>
      <c r="T228" s="732"/>
      <c r="U228" s="733">
        <v>0</v>
      </c>
      <c r="V228" s="734"/>
      <c r="W228" s="293"/>
      <c r="X228" s="735">
        <f>X182+D192+N384+I384</f>
        <v>2.1799999999999997</v>
      </c>
      <c r="Y228" s="736"/>
      <c r="Z228" s="733">
        <v>0</v>
      </c>
      <c r="AA228" s="734"/>
      <c r="AB228" s="254"/>
      <c r="AC228" s="430"/>
    </row>
    <row r="229" spans="1:29" s="199" customFormat="1" ht="10.199999999999999" customHeight="1" x14ac:dyDescent="0.25">
      <c r="A229" s="483"/>
      <c r="B229" s="254"/>
      <c r="C229" s="254"/>
      <c r="D229" s="667"/>
      <c r="E229" s="667"/>
      <c r="F229" s="663"/>
      <c r="G229" s="663"/>
      <c r="H229" s="293"/>
      <c r="I229" s="667"/>
      <c r="J229" s="667"/>
      <c r="K229" s="663"/>
      <c r="L229" s="663"/>
      <c r="M229" s="293"/>
      <c r="N229" s="667"/>
      <c r="O229" s="667"/>
      <c r="P229" s="663"/>
      <c r="Q229" s="663"/>
      <c r="R229" s="293"/>
      <c r="S229" s="667"/>
      <c r="T229" s="667"/>
      <c r="U229" s="663"/>
      <c r="V229" s="663"/>
      <c r="W229" s="293"/>
      <c r="X229" s="668"/>
      <c r="Y229" s="668"/>
      <c r="Z229" s="663"/>
      <c r="AA229" s="663"/>
      <c r="AB229" s="254"/>
      <c r="AC229" s="430"/>
    </row>
    <row r="230" spans="1:29" s="199" customFormat="1" ht="13.5" customHeight="1" x14ac:dyDescent="0.25">
      <c r="A230" s="483"/>
      <c r="B230" s="254"/>
      <c r="C230" s="254"/>
      <c r="D230" s="743"/>
      <c r="E230" s="744"/>
      <c r="F230" s="744"/>
      <c r="G230" s="745"/>
      <c r="H230" s="293"/>
      <c r="I230" s="743"/>
      <c r="J230" s="744"/>
      <c r="K230" s="744"/>
      <c r="L230" s="745"/>
      <c r="M230" s="293"/>
      <c r="N230" s="743"/>
      <c r="O230" s="744"/>
      <c r="P230" s="744"/>
      <c r="Q230" s="745"/>
      <c r="R230" s="293"/>
      <c r="S230" s="667"/>
      <c r="T230" s="667"/>
      <c r="U230" s="663"/>
      <c r="V230" s="663"/>
      <c r="W230" s="293"/>
      <c r="X230" s="668"/>
      <c r="Y230" s="668"/>
      <c r="Z230" s="663"/>
      <c r="AA230" s="663"/>
      <c r="AB230" s="254"/>
      <c r="AC230" s="430"/>
    </row>
    <row r="231" spans="1:29" s="199" customFormat="1" ht="13.5" customHeight="1" x14ac:dyDescent="0.25">
      <c r="A231" s="483"/>
      <c r="B231" s="254"/>
      <c r="C231" s="254"/>
      <c r="D231" s="705"/>
      <c r="E231" s="706"/>
      <c r="F231" s="706"/>
      <c r="G231" s="707"/>
      <c r="H231" s="293"/>
      <c r="I231" s="705"/>
      <c r="J231" s="706"/>
      <c r="K231" s="706"/>
      <c r="L231" s="707"/>
      <c r="M231" s="293"/>
      <c r="N231" s="705"/>
      <c r="O231" s="706"/>
      <c r="P231" s="706"/>
      <c r="Q231" s="707"/>
      <c r="R231" s="293"/>
      <c r="S231" s="667"/>
      <c r="T231" s="667"/>
      <c r="U231" s="663"/>
      <c r="V231" s="663"/>
      <c r="W231" s="293"/>
      <c r="X231" s="668"/>
      <c r="Y231" s="668"/>
      <c r="Z231" s="663"/>
      <c r="AA231" s="663"/>
      <c r="AB231" s="254"/>
      <c r="AC231" s="430"/>
    </row>
    <row r="232" spans="1:29" s="199" customFormat="1" ht="13.5" customHeight="1" x14ac:dyDescent="0.25">
      <c r="A232" s="483"/>
      <c r="B232" s="254"/>
      <c r="C232" s="254"/>
      <c r="D232" s="705"/>
      <c r="E232" s="706"/>
      <c r="F232" s="706"/>
      <c r="G232" s="707"/>
      <c r="H232" s="293"/>
      <c r="I232" s="705"/>
      <c r="J232" s="706"/>
      <c r="K232" s="706"/>
      <c r="L232" s="707"/>
      <c r="M232" s="293"/>
      <c r="N232" s="705"/>
      <c r="O232" s="706"/>
      <c r="P232" s="706"/>
      <c r="Q232" s="707"/>
      <c r="R232" s="293"/>
      <c r="S232" s="667"/>
      <c r="T232" s="667"/>
      <c r="U232" s="663"/>
      <c r="V232" s="663"/>
      <c r="W232" s="293"/>
      <c r="X232" s="668"/>
      <c r="Y232" s="668"/>
      <c r="Z232" s="663"/>
      <c r="AA232" s="663"/>
      <c r="AB232" s="254"/>
      <c r="AC232" s="430"/>
    </row>
    <row r="233" spans="1:29" s="199" customFormat="1" ht="13.5" customHeight="1" x14ac:dyDescent="0.25">
      <c r="A233" s="483"/>
      <c r="B233" s="254"/>
      <c r="C233" s="254"/>
      <c r="D233" s="660"/>
      <c r="E233" s="661"/>
      <c r="F233" s="661"/>
      <c r="G233" s="662"/>
      <c r="H233" s="293"/>
      <c r="I233" s="660"/>
      <c r="J233" s="661"/>
      <c r="K233" s="661"/>
      <c r="L233" s="662"/>
      <c r="M233" s="293"/>
      <c r="N233" s="660"/>
      <c r="O233" s="661"/>
      <c r="P233" s="661"/>
      <c r="Q233" s="662"/>
      <c r="R233" s="293"/>
      <c r="S233" s="667"/>
      <c r="T233" s="667"/>
      <c r="U233" s="663"/>
      <c r="V233" s="663"/>
      <c r="W233" s="293"/>
      <c r="X233" s="668"/>
      <c r="Y233" s="668"/>
      <c r="Z233" s="663"/>
      <c r="AA233" s="663"/>
      <c r="AB233" s="254"/>
      <c r="AC233" s="430"/>
    </row>
    <row r="234" spans="1:29" s="199" customFormat="1" ht="13.5" customHeight="1" x14ac:dyDescent="0.25">
      <c r="A234" s="483"/>
      <c r="B234" s="254"/>
      <c r="C234" s="254"/>
      <c r="D234" s="705"/>
      <c r="E234" s="706"/>
      <c r="F234" s="706"/>
      <c r="G234" s="707"/>
      <c r="H234" s="293"/>
      <c r="I234" s="705"/>
      <c r="J234" s="706"/>
      <c r="K234" s="706"/>
      <c r="L234" s="707"/>
      <c r="M234" s="293"/>
      <c r="N234" s="705"/>
      <c r="O234" s="706"/>
      <c r="P234" s="706"/>
      <c r="Q234" s="707"/>
      <c r="R234" s="293"/>
      <c r="S234" s="667"/>
      <c r="T234" s="667"/>
      <c r="U234" s="663"/>
      <c r="V234" s="663"/>
      <c r="W234" s="293"/>
      <c r="X234" s="668"/>
      <c r="Y234" s="668"/>
      <c r="Z234" s="663"/>
      <c r="AA234" s="663"/>
      <c r="AB234" s="254"/>
      <c r="AC234" s="430"/>
    </row>
    <row r="235" spans="1:29" s="199" customFormat="1" ht="13.5" customHeight="1" x14ac:dyDescent="0.25">
      <c r="A235" s="483"/>
      <c r="B235" s="254"/>
      <c r="C235" s="254"/>
      <c r="D235" s="708"/>
      <c r="E235" s="709"/>
      <c r="F235" s="709"/>
      <c r="G235" s="710"/>
      <c r="H235" s="293"/>
      <c r="I235" s="708"/>
      <c r="J235" s="709"/>
      <c r="K235" s="709"/>
      <c r="L235" s="710"/>
      <c r="M235" s="293"/>
      <c r="N235" s="708"/>
      <c r="O235" s="709"/>
      <c r="P235" s="709"/>
      <c r="Q235" s="710"/>
      <c r="R235" s="293"/>
      <c r="S235" s="667"/>
      <c r="T235" s="667"/>
      <c r="U235" s="663"/>
      <c r="V235" s="663"/>
      <c r="W235" s="293"/>
      <c r="X235" s="668"/>
      <c r="Y235" s="668"/>
      <c r="Z235" s="663"/>
      <c r="AA235" s="663"/>
      <c r="AB235" s="254"/>
      <c r="AC235" s="430"/>
    </row>
    <row r="236" spans="1:29" s="199" customFormat="1" ht="13.5" customHeight="1" x14ac:dyDescent="0.25">
      <c r="A236" s="483"/>
      <c r="B236" s="254"/>
      <c r="C236" s="254"/>
      <c r="D236" s="755" t="s">
        <v>475</v>
      </c>
      <c r="E236" s="756"/>
      <c r="F236" s="756"/>
      <c r="G236" s="757"/>
      <c r="H236" s="293"/>
      <c r="I236" s="755" t="s">
        <v>463</v>
      </c>
      <c r="J236" s="756"/>
      <c r="K236" s="756"/>
      <c r="L236" s="757"/>
      <c r="M236" s="293"/>
      <c r="N236" s="758" t="s">
        <v>313</v>
      </c>
      <c r="O236" s="759"/>
      <c r="P236" s="759"/>
      <c r="Q236" s="760"/>
      <c r="R236" s="293"/>
      <c r="S236" s="667"/>
      <c r="T236" s="667"/>
      <c r="U236" s="663"/>
      <c r="V236" s="663"/>
      <c r="W236" s="293"/>
      <c r="X236" s="668"/>
      <c r="Y236" s="668"/>
      <c r="Z236" s="663"/>
      <c r="AA236" s="663"/>
      <c r="AB236" s="254"/>
      <c r="AC236" s="430"/>
    </row>
    <row r="237" spans="1:29" s="287" customFormat="1" ht="13.5" customHeight="1" x14ac:dyDescent="0.25">
      <c r="A237" s="486"/>
      <c r="B237" s="260"/>
      <c r="C237" s="260"/>
      <c r="D237" s="761" t="s">
        <v>591</v>
      </c>
      <c r="E237" s="761"/>
      <c r="F237" s="762"/>
      <c r="G237" s="762"/>
      <c r="H237" s="346"/>
      <c r="I237" s="763" t="s">
        <v>606</v>
      </c>
      <c r="J237" s="763"/>
      <c r="K237" s="764"/>
      <c r="L237" s="764"/>
      <c r="M237" s="346"/>
      <c r="N237" s="726" t="s">
        <v>590</v>
      </c>
      <c r="O237" s="727"/>
      <c r="P237" s="727"/>
      <c r="Q237" s="730"/>
      <c r="R237" s="346"/>
      <c r="S237" s="667"/>
      <c r="T237" s="667"/>
      <c r="U237" s="663"/>
      <c r="V237" s="663"/>
      <c r="W237" s="346"/>
      <c r="X237" s="668"/>
      <c r="Y237" s="668"/>
      <c r="Z237" s="663"/>
      <c r="AA237" s="663"/>
      <c r="AB237" s="260"/>
      <c r="AC237" s="433"/>
    </row>
    <row r="238" spans="1:29" s="287" customFormat="1" ht="13.5" customHeight="1" x14ac:dyDescent="0.25">
      <c r="A238" s="486"/>
      <c r="B238" s="260"/>
      <c r="C238" s="260"/>
      <c r="D238" s="726" t="s">
        <v>663</v>
      </c>
      <c r="E238" s="727"/>
      <c r="F238" s="727"/>
      <c r="G238" s="730"/>
      <c r="H238" s="346"/>
      <c r="I238" s="726" t="s">
        <v>651</v>
      </c>
      <c r="J238" s="727"/>
      <c r="K238" s="727"/>
      <c r="L238" s="730"/>
      <c r="M238" s="346"/>
      <c r="N238" s="726" t="s">
        <v>664</v>
      </c>
      <c r="O238" s="727"/>
      <c r="P238" s="727"/>
      <c r="Q238" s="730"/>
      <c r="R238" s="346"/>
      <c r="S238" s="667"/>
      <c r="T238" s="667"/>
      <c r="U238" s="663"/>
      <c r="V238" s="663"/>
      <c r="W238" s="346"/>
      <c r="X238" s="668"/>
      <c r="Y238" s="668"/>
      <c r="Z238" s="663"/>
      <c r="AA238" s="663"/>
      <c r="AB238" s="260"/>
      <c r="AC238" s="433"/>
    </row>
    <row r="239" spans="1:29" s="199" customFormat="1" ht="16.2" customHeight="1" thickBot="1" x14ac:dyDescent="0.3">
      <c r="A239" s="483"/>
      <c r="B239" s="254"/>
      <c r="C239" s="254"/>
      <c r="D239" s="741">
        <f>I192+N192+D384+I384</f>
        <v>2.02</v>
      </c>
      <c r="E239" s="742"/>
      <c r="F239" s="716">
        <v>0</v>
      </c>
      <c r="G239" s="717"/>
      <c r="H239" s="293"/>
      <c r="I239" s="741">
        <f>(S192*2)+(X251*2)+D384+I384</f>
        <v>2.78</v>
      </c>
      <c r="J239" s="742"/>
      <c r="K239" s="716">
        <v>0</v>
      </c>
      <c r="L239" s="717"/>
      <c r="M239" s="293"/>
      <c r="N239" s="741">
        <f>X192*2+(D384*2)+(I384*2)</f>
        <v>2.8000000000000003</v>
      </c>
      <c r="O239" s="742"/>
      <c r="P239" s="716">
        <v>0</v>
      </c>
      <c r="Q239" s="717"/>
      <c r="R239" s="293"/>
      <c r="S239" s="667"/>
      <c r="T239" s="667"/>
      <c r="U239" s="663"/>
      <c r="V239" s="663"/>
      <c r="W239" s="293"/>
      <c r="X239" s="668"/>
      <c r="Y239" s="668"/>
      <c r="Z239" s="663"/>
      <c r="AA239" s="663"/>
      <c r="AB239" s="254"/>
      <c r="AC239" s="430"/>
    </row>
    <row r="240" spans="1:29" s="188" customFormat="1" ht="27" customHeight="1" x14ac:dyDescent="0.25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 x14ac:dyDescent="0.3">
      <c r="A241" s="487"/>
      <c r="B241" s="442"/>
      <c r="C241" s="442"/>
      <c r="D241" s="849" t="s">
        <v>8</v>
      </c>
      <c r="E241" s="849"/>
      <c r="F241" s="849"/>
      <c r="G241" s="849"/>
      <c r="H241" s="849"/>
      <c r="I241" s="849"/>
      <c r="J241" s="849"/>
      <c r="K241" s="849"/>
      <c r="L241" s="849"/>
      <c r="M241" s="849"/>
      <c r="N241" s="849"/>
      <c r="O241" s="849"/>
      <c r="P241" s="849"/>
      <c r="Q241" s="849"/>
      <c r="R241" s="849"/>
      <c r="S241" s="849"/>
      <c r="T241" s="849"/>
      <c r="U241" s="849"/>
      <c r="V241" s="849"/>
      <c r="W241" s="849"/>
      <c r="X241" s="849"/>
      <c r="Y241" s="849"/>
      <c r="Z241" s="849"/>
      <c r="AA241" s="849"/>
      <c r="AB241" s="442"/>
      <c r="AC241" s="434"/>
    </row>
    <row r="242" spans="1:29" s="190" customFormat="1" ht="27" customHeight="1" x14ac:dyDescent="0.35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 x14ac:dyDescent="0.25">
      <c r="A243" s="476"/>
      <c r="B243" s="959" t="s">
        <v>167</v>
      </c>
      <c r="C243" s="451"/>
      <c r="D243" s="724"/>
      <c r="E243" s="724"/>
      <c r="F243" s="724"/>
      <c r="G243" s="724"/>
      <c r="H243" s="353"/>
      <c r="I243" s="720"/>
      <c r="J243" s="721"/>
      <c r="K243" s="721"/>
      <c r="L243" s="722"/>
      <c r="M243" s="293"/>
      <c r="N243" s="743"/>
      <c r="O243" s="744"/>
      <c r="P243" s="744"/>
      <c r="Q243" s="744"/>
      <c r="R243" s="353"/>
      <c r="S243" s="706"/>
      <c r="T243" s="706"/>
      <c r="U243" s="706"/>
      <c r="V243" s="706"/>
      <c r="W243" s="353"/>
      <c r="X243" s="706"/>
      <c r="Y243" s="706"/>
      <c r="Z243" s="706"/>
      <c r="AA243" s="706"/>
      <c r="AB243" s="495"/>
    </row>
    <row r="244" spans="1:29" ht="13.8" x14ac:dyDescent="0.25">
      <c r="A244" s="476"/>
      <c r="B244" s="959"/>
      <c r="C244" s="451"/>
      <c r="D244" s="724"/>
      <c r="E244" s="724"/>
      <c r="F244" s="724"/>
      <c r="G244" s="724"/>
      <c r="H244" s="353"/>
      <c r="I244" s="723"/>
      <c r="J244" s="724"/>
      <c r="K244" s="724"/>
      <c r="L244" s="725"/>
      <c r="M244" s="293"/>
      <c r="N244" s="705"/>
      <c r="O244" s="706"/>
      <c r="P244" s="706"/>
      <c r="Q244" s="706"/>
      <c r="R244" s="353"/>
      <c r="S244" s="706"/>
      <c r="T244" s="706"/>
      <c r="U244" s="706"/>
      <c r="V244" s="706"/>
      <c r="W244" s="353"/>
      <c r="X244" s="706"/>
      <c r="Y244" s="706"/>
      <c r="Z244" s="706"/>
      <c r="AA244" s="706"/>
      <c r="AB244" s="495"/>
    </row>
    <row r="245" spans="1:29" ht="13.8" x14ac:dyDescent="0.25">
      <c r="A245" s="476"/>
      <c r="B245" s="959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3.8" x14ac:dyDescent="0.25">
      <c r="A246" s="476"/>
      <c r="B246" s="959"/>
      <c r="C246" s="451"/>
      <c r="D246" s="724"/>
      <c r="E246" s="724"/>
      <c r="F246" s="724"/>
      <c r="G246" s="724"/>
      <c r="H246" s="353"/>
      <c r="I246" s="723"/>
      <c r="J246" s="724"/>
      <c r="K246" s="724"/>
      <c r="L246" s="725"/>
      <c r="M246" s="293"/>
      <c r="N246" s="705"/>
      <c r="O246" s="706"/>
      <c r="P246" s="706"/>
      <c r="Q246" s="706"/>
      <c r="R246" s="353"/>
      <c r="S246" s="706"/>
      <c r="T246" s="706"/>
      <c r="U246" s="706"/>
      <c r="V246" s="706"/>
      <c r="W246" s="353"/>
      <c r="X246" s="706"/>
      <c r="Y246" s="706"/>
      <c r="Z246" s="706"/>
      <c r="AA246" s="706"/>
      <c r="AB246" s="495"/>
    </row>
    <row r="247" spans="1:29" ht="13.8" x14ac:dyDescent="0.25">
      <c r="A247" s="476"/>
      <c r="B247" s="959"/>
      <c r="C247" s="451"/>
      <c r="D247" s="724"/>
      <c r="E247" s="724"/>
      <c r="F247" s="724"/>
      <c r="G247" s="724"/>
      <c r="H247" s="353"/>
      <c r="I247" s="723"/>
      <c r="J247" s="724"/>
      <c r="K247" s="724"/>
      <c r="L247" s="725"/>
      <c r="M247" s="293"/>
      <c r="N247" s="705"/>
      <c r="O247" s="706"/>
      <c r="P247" s="706"/>
      <c r="Q247" s="706"/>
      <c r="R247" s="353"/>
      <c r="S247" s="706"/>
      <c r="T247" s="706"/>
      <c r="U247" s="706"/>
      <c r="V247" s="706"/>
      <c r="W247" s="353"/>
      <c r="X247" s="706"/>
      <c r="Y247" s="706"/>
      <c r="Z247" s="706"/>
      <c r="AA247" s="706"/>
      <c r="AB247" s="495"/>
    </row>
    <row r="248" spans="1:29" ht="13.8" x14ac:dyDescent="0.25">
      <c r="A248" s="476"/>
      <c r="B248" s="959"/>
      <c r="C248" s="451"/>
      <c r="D248" s="773"/>
      <c r="E248" s="774"/>
      <c r="F248" s="774"/>
      <c r="G248" s="775"/>
      <c r="H248" s="353"/>
      <c r="I248" s="773"/>
      <c r="J248" s="774"/>
      <c r="K248" s="774"/>
      <c r="L248" s="775"/>
      <c r="M248" s="293"/>
      <c r="N248" s="708"/>
      <c r="O248" s="709"/>
      <c r="P248" s="709"/>
      <c r="Q248" s="709"/>
      <c r="R248" s="353"/>
      <c r="S248" s="706"/>
      <c r="T248" s="706"/>
      <c r="U248" s="706"/>
      <c r="V248" s="706"/>
      <c r="W248" s="353"/>
      <c r="X248" s="706"/>
      <c r="Y248" s="706"/>
      <c r="Z248" s="706"/>
      <c r="AA248" s="706"/>
      <c r="AB248" s="495"/>
    </row>
    <row r="249" spans="1:29" ht="13.8" x14ac:dyDescent="0.25">
      <c r="A249" s="476"/>
      <c r="B249" s="959"/>
      <c r="C249" s="278"/>
      <c r="D249" s="877" t="s">
        <v>232</v>
      </c>
      <c r="E249" s="878"/>
      <c r="F249" s="878"/>
      <c r="G249" s="879"/>
      <c r="H249" s="293"/>
      <c r="I249" s="790" t="s">
        <v>421</v>
      </c>
      <c r="J249" s="791"/>
      <c r="K249" s="791"/>
      <c r="L249" s="792"/>
      <c r="M249" s="293"/>
      <c r="N249" s="790" t="s">
        <v>216</v>
      </c>
      <c r="O249" s="791"/>
      <c r="P249" s="791"/>
      <c r="Q249" s="792"/>
      <c r="R249" s="293"/>
      <c r="S249" s="755" t="s">
        <v>450</v>
      </c>
      <c r="T249" s="756"/>
      <c r="U249" s="756"/>
      <c r="V249" s="757"/>
      <c r="W249" s="293"/>
      <c r="X249" s="755" t="s">
        <v>219</v>
      </c>
      <c r="Y249" s="756"/>
      <c r="Z249" s="756"/>
      <c r="AA249" s="757"/>
      <c r="AB249" s="254"/>
    </row>
    <row r="250" spans="1:29" s="201" customFormat="1" ht="27" customHeight="1" thickBot="1" x14ac:dyDescent="0.35">
      <c r="A250" s="488"/>
      <c r="B250" s="959"/>
      <c r="C250" s="278"/>
      <c r="D250" s="770" t="s">
        <v>665</v>
      </c>
      <c r="E250" s="771"/>
      <c r="F250" s="771"/>
      <c r="G250" s="772"/>
      <c r="H250" s="308"/>
      <c r="I250" s="770" t="s">
        <v>422</v>
      </c>
      <c r="J250" s="771"/>
      <c r="K250" s="771"/>
      <c r="L250" s="772"/>
      <c r="M250" s="308"/>
      <c r="N250" s="770" t="s">
        <v>282</v>
      </c>
      <c r="O250" s="771"/>
      <c r="P250" s="771"/>
      <c r="Q250" s="772"/>
      <c r="R250" s="308"/>
      <c r="S250" s="770" t="s">
        <v>451</v>
      </c>
      <c r="T250" s="771"/>
      <c r="U250" s="771"/>
      <c r="V250" s="772"/>
      <c r="W250" s="308"/>
      <c r="X250" s="770" t="s">
        <v>666</v>
      </c>
      <c r="Y250" s="771"/>
      <c r="Z250" s="771"/>
      <c r="AA250" s="772"/>
      <c r="AB250" s="259"/>
      <c r="AC250" s="435"/>
    </row>
    <row r="251" spans="1:29" ht="16.2" customHeight="1" thickBot="1" x14ac:dyDescent="0.3">
      <c r="A251" s="476"/>
      <c r="B251" s="959"/>
      <c r="C251" s="278"/>
      <c r="D251" s="711">
        <v>0.13</v>
      </c>
      <c r="E251" s="712"/>
      <c r="F251" s="713">
        <v>10</v>
      </c>
      <c r="G251" s="714"/>
      <c r="H251" s="353"/>
      <c r="I251" s="1003">
        <v>0.13</v>
      </c>
      <c r="J251" s="1004"/>
      <c r="K251" s="929">
        <v>0</v>
      </c>
      <c r="L251" s="930"/>
      <c r="M251" s="353"/>
      <c r="N251" s="1003">
        <v>0.95</v>
      </c>
      <c r="O251" s="1004"/>
      <c r="P251" s="929">
        <v>0</v>
      </c>
      <c r="Q251" s="930"/>
      <c r="R251" s="353"/>
      <c r="S251" s="898">
        <v>0.95</v>
      </c>
      <c r="T251" s="712"/>
      <c r="U251" s="713">
        <v>0</v>
      </c>
      <c r="V251" s="714"/>
      <c r="W251" s="353"/>
      <c r="X251" s="898">
        <v>0.25</v>
      </c>
      <c r="Y251" s="712"/>
      <c r="Z251" s="713">
        <v>0</v>
      </c>
      <c r="AA251" s="904"/>
      <c r="AB251" s="254"/>
    </row>
    <row r="252" spans="1:29" s="595" customFormat="1" ht="16.2" customHeight="1" x14ac:dyDescent="0.25">
      <c r="A252" s="589"/>
      <c r="B252" s="959"/>
      <c r="C252" s="278"/>
      <c r="D252" s="639">
        <f>D251*G252</f>
        <v>52</v>
      </c>
      <c r="E252" s="601"/>
      <c r="F252" s="602" t="s">
        <v>295</v>
      </c>
      <c r="G252" s="603">
        <v>400</v>
      </c>
      <c r="H252" s="604"/>
      <c r="I252" s="640">
        <f>I251*L252</f>
        <v>52</v>
      </c>
      <c r="J252" s="601"/>
      <c r="K252" s="602" t="s">
        <v>295</v>
      </c>
      <c r="L252" s="603">
        <v>400</v>
      </c>
      <c r="M252" s="604"/>
      <c r="N252" s="640">
        <f>N251*Q252</f>
        <v>95</v>
      </c>
      <c r="O252" s="601"/>
      <c r="P252" s="602" t="s">
        <v>295</v>
      </c>
      <c r="Q252" s="603">
        <v>100</v>
      </c>
      <c r="R252" s="604"/>
      <c r="S252" s="640">
        <f>S251*V252</f>
        <v>95</v>
      </c>
      <c r="T252" s="601"/>
      <c r="U252" s="602" t="s">
        <v>295</v>
      </c>
      <c r="V252" s="603">
        <v>100</v>
      </c>
      <c r="W252" s="604"/>
      <c r="X252" s="640">
        <f>X251*AA252</f>
        <v>37.5</v>
      </c>
      <c r="Y252" s="601"/>
      <c r="Z252" s="602" t="s">
        <v>295</v>
      </c>
      <c r="AA252" s="603">
        <v>150</v>
      </c>
      <c r="AB252" s="608"/>
      <c r="AC252" s="594"/>
    </row>
    <row r="253" spans="1:29" s="199" customFormat="1" ht="10.199999999999999" customHeight="1" x14ac:dyDescent="0.25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 x14ac:dyDescent="0.25">
      <c r="A254" s="476"/>
      <c r="B254" s="959" t="s">
        <v>283</v>
      </c>
      <c r="C254" s="278"/>
      <c r="D254" s="715"/>
      <c r="E254" s="706"/>
      <c r="F254" s="706"/>
      <c r="G254" s="706"/>
      <c r="H254" s="353"/>
      <c r="I254" s="706"/>
      <c r="J254" s="706"/>
      <c r="K254" s="706"/>
      <c r="L254" s="706"/>
      <c r="M254" s="353"/>
      <c r="N254" s="706"/>
      <c r="O254" s="706"/>
      <c r="P254" s="706"/>
      <c r="Q254" s="706"/>
      <c r="R254" s="353"/>
      <c r="S254" s="724"/>
      <c r="T254" s="724"/>
      <c r="U254" s="724"/>
      <c r="V254" s="724"/>
      <c r="W254" s="353"/>
      <c r="X254" s="724"/>
      <c r="Y254" s="724"/>
      <c r="Z254" s="724"/>
      <c r="AA254" s="724"/>
      <c r="AB254" s="495"/>
    </row>
    <row r="255" spans="1:29" ht="13.8" x14ac:dyDescent="0.25">
      <c r="A255" s="476"/>
      <c r="B255" s="959"/>
      <c r="C255" s="278"/>
      <c r="D255" s="715"/>
      <c r="E255" s="706"/>
      <c r="F255" s="706"/>
      <c r="G255" s="706"/>
      <c r="H255" s="353"/>
      <c r="I255" s="706"/>
      <c r="J255" s="706"/>
      <c r="K255" s="706"/>
      <c r="L255" s="706"/>
      <c r="M255" s="353"/>
      <c r="N255" s="706"/>
      <c r="O255" s="706"/>
      <c r="P255" s="706"/>
      <c r="Q255" s="706"/>
      <c r="R255" s="353"/>
      <c r="S255" s="768"/>
      <c r="T255" s="769"/>
      <c r="U255" s="769"/>
      <c r="V255" s="768"/>
      <c r="W255" s="353"/>
      <c r="X255" s="768"/>
      <c r="Y255" s="769"/>
      <c r="Z255" s="769"/>
      <c r="AA255" s="768"/>
      <c r="AB255" s="495"/>
    </row>
    <row r="256" spans="1:29" ht="13.8" x14ac:dyDescent="0.25">
      <c r="A256" s="476"/>
      <c r="B256" s="959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68"/>
      <c r="T256" s="769"/>
      <c r="U256" s="769"/>
      <c r="V256" s="768"/>
      <c r="W256" s="353"/>
      <c r="X256" s="768"/>
      <c r="Y256" s="769"/>
      <c r="Z256" s="769"/>
      <c r="AA256" s="768"/>
      <c r="AB256" s="495"/>
    </row>
    <row r="257" spans="1:29" ht="13.8" x14ac:dyDescent="0.25">
      <c r="A257" s="476"/>
      <c r="B257" s="959"/>
      <c r="C257" s="278"/>
      <c r="D257" s="715"/>
      <c r="E257" s="706"/>
      <c r="F257" s="706"/>
      <c r="G257" s="706"/>
      <c r="H257" s="353"/>
      <c r="I257" s="706"/>
      <c r="J257" s="706"/>
      <c r="K257" s="706"/>
      <c r="L257" s="706"/>
      <c r="M257" s="353"/>
      <c r="N257" s="706"/>
      <c r="O257" s="706"/>
      <c r="P257" s="706"/>
      <c r="Q257" s="706"/>
      <c r="R257" s="353"/>
      <c r="S257" s="768"/>
      <c r="T257" s="769"/>
      <c r="U257" s="769"/>
      <c r="V257" s="768"/>
      <c r="W257" s="353"/>
      <c r="X257" s="768"/>
      <c r="Y257" s="769"/>
      <c r="Z257" s="769"/>
      <c r="AA257" s="768"/>
      <c r="AB257" s="495"/>
    </row>
    <row r="258" spans="1:29" ht="13.8" x14ac:dyDescent="0.25">
      <c r="A258" s="476"/>
      <c r="B258" s="959"/>
      <c r="C258" s="278"/>
      <c r="D258" s="715"/>
      <c r="E258" s="706"/>
      <c r="F258" s="706"/>
      <c r="G258" s="706"/>
      <c r="H258" s="353"/>
      <c r="I258" s="706"/>
      <c r="J258" s="706"/>
      <c r="K258" s="706"/>
      <c r="L258" s="706"/>
      <c r="M258" s="353"/>
      <c r="N258" s="706"/>
      <c r="O258" s="706"/>
      <c r="P258" s="706"/>
      <c r="Q258" s="706"/>
      <c r="R258" s="353"/>
      <c r="S258" s="768"/>
      <c r="T258" s="769"/>
      <c r="U258" s="769"/>
      <c r="V258" s="768"/>
      <c r="W258" s="353"/>
      <c r="X258" s="768"/>
      <c r="Y258" s="769"/>
      <c r="Z258" s="769"/>
      <c r="AA258" s="768"/>
      <c r="AB258" s="495"/>
    </row>
    <row r="259" spans="1:29" ht="13.8" x14ac:dyDescent="0.25">
      <c r="A259" s="476"/>
      <c r="B259" s="959"/>
      <c r="C259" s="278"/>
      <c r="D259" s="715"/>
      <c r="E259" s="706"/>
      <c r="F259" s="706"/>
      <c r="G259" s="706"/>
      <c r="H259" s="353"/>
      <c r="I259" s="706"/>
      <c r="J259" s="706"/>
      <c r="K259" s="706"/>
      <c r="L259" s="706"/>
      <c r="M259" s="353"/>
      <c r="N259" s="706"/>
      <c r="O259" s="706"/>
      <c r="P259" s="706"/>
      <c r="Q259" s="706"/>
      <c r="R259" s="353"/>
      <c r="S259" s="768"/>
      <c r="T259" s="768"/>
      <c r="U259" s="768"/>
      <c r="V259" s="768"/>
      <c r="W259" s="353"/>
      <c r="X259" s="768"/>
      <c r="Y259" s="768"/>
      <c r="Z259" s="768"/>
      <c r="AA259" s="768"/>
      <c r="AB259" s="495"/>
    </row>
    <row r="260" spans="1:29" ht="13.8" x14ac:dyDescent="0.25">
      <c r="A260" s="476"/>
      <c r="B260" s="959"/>
      <c r="C260" s="278"/>
      <c r="D260" s="755" t="s">
        <v>217</v>
      </c>
      <c r="E260" s="756"/>
      <c r="F260" s="756"/>
      <c r="G260" s="757"/>
      <c r="H260" s="293"/>
      <c r="I260" s="755" t="s">
        <v>218</v>
      </c>
      <c r="J260" s="756"/>
      <c r="K260" s="756"/>
      <c r="L260" s="757"/>
      <c r="M260" s="293"/>
      <c r="N260" s="755" t="s">
        <v>180</v>
      </c>
      <c r="O260" s="756"/>
      <c r="P260" s="756"/>
      <c r="Q260" s="757"/>
      <c r="R260" s="293"/>
      <c r="S260" s="755" t="s">
        <v>453</v>
      </c>
      <c r="T260" s="756"/>
      <c r="U260" s="756"/>
      <c r="V260" s="757"/>
      <c r="W260" s="293"/>
      <c r="X260" s="755" t="s">
        <v>467</v>
      </c>
      <c r="Y260" s="756"/>
      <c r="Z260" s="756"/>
      <c r="AA260" s="757"/>
      <c r="AB260" s="254"/>
    </row>
    <row r="261" spans="1:29" s="201" customFormat="1" ht="27" customHeight="1" thickBot="1" x14ac:dyDescent="0.35">
      <c r="A261" s="488"/>
      <c r="B261" s="959"/>
      <c r="C261" s="278"/>
      <c r="D261" s="1151" t="s">
        <v>667</v>
      </c>
      <c r="E261" s="771"/>
      <c r="F261" s="771"/>
      <c r="G261" s="772"/>
      <c r="H261" s="308"/>
      <c r="I261" s="770" t="s">
        <v>668</v>
      </c>
      <c r="J261" s="771"/>
      <c r="K261" s="771"/>
      <c r="L261" s="772"/>
      <c r="M261" s="308"/>
      <c r="N261" s="770" t="s">
        <v>284</v>
      </c>
      <c r="O261" s="771"/>
      <c r="P261" s="771"/>
      <c r="Q261" s="772"/>
      <c r="R261" s="308"/>
      <c r="S261" s="770" t="s">
        <v>452</v>
      </c>
      <c r="T261" s="771"/>
      <c r="U261" s="771"/>
      <c r="V261" s="772"/>
      <c r="W261" s="308"/>
      <c r="X261" s="770" t="s">
        <v>468</v>
      </c>
      <c r="Y261" s="771"/>
      <c r="Z261" s="771"/>
      <c r="AA261" s="772"/>
      <c r="AB261" s="259"/>
      <c r="AC261" s="435"/>
    </row>
    <row r="262" spans="1:29" ht="16.2" customHeight="1" thickBot="1" x14ac:dyDescent="0.3">
      <c r="A262" s="476"/>
      <c r="B262" s="959"/>
      <c r="C262" s="278"/>
      <c r="D262" s="960">
        <v>2.25</v>
      </c>
      <c r="E262" s="961"/>
      <c r="F262" s="713">
        <v>4</v>
      </c>
      <c r="G262" s="714"/>
      <c r="H262" s="353"/>
      <c r="I262" s="1112">
        <v>2.25</v>
      </c>
      <c r="J262" s="1113"/>
      <c r="K262" s="713">
        <v>0</v>
      </c>
      <c r="L262" s="714"/>
      <c r="M262" s="353"/>
      <c r="N262" s="1112">
        <v>0.7</v>
      </c>
      <c r="O262" s="1113"/>
      <c r="P262" s="713">
        <v>0</v>
      </c>
      <c r="Q262" s="714"/>
      <c r="R262" s="353"/>
      <c r="S262" s="898">
        <v>4.5</v>
      </c>
      <c r="T262" s="712"/>
      <c r="U262" s="713">
        <v>0</v>
      </c>
      <c r="V262" s="714"/>
      <c r="W262" s="353"/>
      <c r="X262" s="898">
        <v>5</v>
      </c>
      <c r="Y262" s="712"/>
      <c r="Z262" s="713">
        <v>0</v>
      </c>
      <c r="AA262" s="904"/>
      <c r="AB262" s="254"/>
    </row>
    <row r="263" spans="1:29" s="595" customFormat="1" ht="16.2" customHeight="1" x14ac:dyDescent="0.25">
      <c r="A263" s="589"/>
      <c r="B263" s="959"/>
      <c r="C263" s="278"/>
      <c r="D263" s="639">
        <f>D262*G263</f>
        <v>225</v>
      </c>
      <c r="E263" s="601"/>
      <c r="F263" s="602" t="s">
        <v>295</v>
      </c>
      <c r="G263" s="603">
        <v>100</v>
      </c>
      <c r="H263" s="604"/>
      <c r="I263" s="640">
        <f>I262*L263</f>
        <v>225</v>
      </c>
      <c r="J263" s="605"/>
      <c r="K263" s="606" t="s">
        <v>295</v>
      </c>
      <c r="L263" s="607">
        <v>100</v>
      </c>
      <c r="M263" s="604"/>
      <c r="N263" s="640">
        <f>N262*Q263</f>
        <v>70</v>
      </c>
      <c r="O263" s="601"/>
      <c r="P263" s="602" t="s">
        <v>295</v>
      </c>
      <c r="Q263" s="603">
        <v>100</v>
      </c>
      <c r="R263" s="604"/>
      <c r="S263" s="640">
        <f>S262*V263</f>
        <v>67.5</v>
      </c>
      <c r="T263" s="601"/>
      <c r="U263" s="602" t="s">
        <v>295</v>
      </c>
      <c r="V263" s="603">
        <v>15</v>
      </c>
      <c r="W263" s="604"/>
      <c r="X263" s="640">
        <f>X262*AA263</f>
        <v>50</v>
      </c>
      <c r="Y263" s="601"/>
      <c r="Z263" s="602" t="s">
        <v>295</v>
      </c>
      <c r="AA263" s="603">
        <v>10</v>
      </c>
      <c r="AB263" s="608"/>
      <c r="AC263" s="594"/>
    </row>
    <row r="264" spans="1:29" s="199" customFormat="1" ht="10.199999999999999" customHeight="1" x14ac:dyDescent="0.25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 x14ac:dyDescent="0.25">
      <c r="A265" s="476"/>
      <c r="B265" s="959" t="s">
        <v>181</v>
      </c>
      <c r="C265" s="278"/>
      <c r="D265" s="743"/>
      <c r="E265" s="744"/>
      <c r="F265" s="744"/>
      <c r="G265" s="745"/>
      <c r="H265" s="293"/>
      <c r="I265" s="720"/>
      <c r="J265" s="721"/>
      <c r="K265" s="721"/>
      <c r="L265" s="722"/>
      <c r="M265" s="293"/>
      <c r="N265" s="720"/>
      <c r="O265" s="721"/>
      <c r="P265" s="721"/>
      <c r="Q265" s="722"/>
      <c r="R265" s="293"/>
      <c r="S265" s="720"/>
      <c r="T265" s="721"/>
      <c r="U265" s="721"/>
      <c r="V265" s="722"/>
      <c r="W265" s="293"/>
      <c r="X265" s="718"/>
      <c r="Y265" s="718"/>
      <c r="Z265" s="718"/>
      <c r="AA265" s="718"/>
      <c r="AB265" s="254"/>
    </row>
    <row r="266" spans="1:29" ht="13.8" x14ac:dyDescent="0.25">
      <c r="A266" s="476"/>
      <c r="B266" s="959"/>
      <c r="C266" s="278"/>
      <c r="D266" s="705"/>
      <c r="E266" s="706"/>
      <c r="F266" s="706"/>
      <c r="G266" s="707"/>
      <c r="H266" s="293"/>
      <c r="I266" s="705"/>
      <c r="J266" s="706"/>
      <c r="K266" s="706"/>
      <c r="L266" s="707"/>
      <c r="M266" s="293"/>
      <c r="N266" s="705"/>
      <c r="O266" s="706"/>
      <c r="P266" s="706"/>
      <c r="Q266" s="707"/>
      <c r="R266" s="293"/>
      <c r="S266" s="705"/>
      <c r="T266" s="706"/>
      <c r="U266" s="706"/>
      <c r="V266" s="707"/>
      <c r="W266" s="293"/>
      <c r="X266" s="718"/>
      <c r="Y266" s="718"/>
      <c r="Z266" s="718"/>
      <c r="AA266" s="718"/>
      <c r="AB266" s="254"/>
    </row>
    <row r="267" spans="1:29" ht="13.8" x14ac:dyDescent="0.25">
      <c r="A267" s="476"/>
      <c r="B267" s="959"/>
      <c r="C267" s="278"/>
      <c r="D267" s="705"/>
      <c r="E267" s="706"/>
      <c r="F267" s="706"/>
      <c r="G267" s="707"/>
      <c r="H267" s="293"/>
      <c r="I267" s="705"/>
      <c r="J267" s="706"/>
      <c r="K267" s="706"/>
      <c r="L267" s="707"/>
      <c r="M267" s="293"/>
      <c r="N267" s="705"/>
      <c r="O267" s="706"/>
      <c r="P267" s="706"/>
      <c r="Q267" s="707"/>
      <c r="R267" s="293"/>
      <c r="S267" s="705"/>
      <c r="T267" s="706"/>
      <c r="U267" s="706"/>
      <c r="V267" s="707"/>
      <c r="W267" s="293"/>
      <c r="X267" s="718"/>
      <c r="Y267" s="718"/>
      <c r="Z267" s="718"/>
      <c r="AA267" s="718"/>
      <c r="AB267" s="254"/>
    </row>
    <row r="268" spans="1:29" ht="13.8" x14ac:dyDescent="0.25">
      <c r="A268" s="476"/>
      <c r="B268" s="959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3.8" x14ac:dyDescent="0.25">
      <c r="A269" s="476"/>
      <c r="B269" s="959"/>
      <c r="C269" s="278"/>
      <c r="D269" s="705"/>
      <c r="E269" s="706"/>
      <c r="F269" s="706"/>
      <c r="G269" s="707"/>
      <c r="H269" s="293"/>
      <c r="I269" s="705"/>
      <c r="J269" s="706"/>
      <c r="K269" s="706"/>
      <c r="L269" s="707"/>
      <c r="M269" s="293"/>
      <c r="N269" s="705"/>
      <c r="O269" s="706"/>
      <c r="P269" s="706"/>
      <c r="Q269" s="707"/>
      <c r="R269" s="293"/>
      <c r="S269" s="705"/>
      <c r="T269" s="706"/>
      <c r="U269" s="706"/>
      <c r="V269" s="707"/>
      <c r="W269" s="293"/>
      <c r="X269" s="718"/>
      <c r="Y269" s="718"/>
      <c r="Z269" s="718"/>
      <c r="AA269" s="718"/>
      <c r="AB269" s="254"/>
    </row>
    <row r="270" spans="1:29" ht="13.8" x14ac:dyDescent="0.25">
      <c r="A270" s="476"/>
      <c r="B270" s="959"/>
      <c r="C270" s="278"/>
      <c r="D270" s="708"/>
      <c r="E270" s="709"/>
      <c r="F270" s="709"/>
      <c r="G270" s="710"/>
      <c r="H270" s="293"/>
      <c r="I270" s="708"/>
      <c r="J270" s="709"/>
      <c r="K270" s="709"/>
      <c r="L270" s="710"/>
      <c r="M270" s="293"/>
      <c r="N270" s="708"/>
      <c r="O270" s="709"/>
      <c r="P270" s="709"/>
      <c r="Q270" s="710"/>
      <c r="R270" s="293"/>
      <c r="S270" s="708"/>
      <c r="T270" s="709"/>
      <c r="U270" s="709"/>
      <c r="V270" s="710"/>
      <c r="W270" s="293"/>
      <c r="X270" s="718"/>
      <c r="Y270" s="718"/>
      <c r="Z270" s="718"/>
      <c r="AA270" s="718"/>
      <c r="AB270" s="254"/>
    </row>
    <row r="271" spans="1:29" ht="13.8" x14ac:dyDescent="0.25">
      <c r="A271" s="476"/>
      <c r="B271" s="959"/>
      <c r="C271" s="278"/>
      <c r="D271" s="877" t="s">
        <v>186</v>
      </c>
      <c r="E271" s="878"/>
      <c r="F271" s="878"/>
      <c r="G271" s="879"/>
      <c r="H271" s="293"/>
      <c r="I271" s="877" t="s">
        <v>187</v>
      </c>
      <c r="J271" s="878"/>
      <c r="K271" s="878"/>
      <c r="L271" s="879"/>
      <c r="M271" s="293"/>
      <c r="N271" s="1114" t="s">
        <v>188</v>
      </c>
      <c r="O271" s="859"/>
      <c r="P271" s="859"/>
      <c r="Q271" s="1115"/>
      <c r="R271" s="293"/>
      <c r="S271" s="1114" t="s">
        <v>189</v>
      </c>
      <c r="T271" s="859"/>
      <c r="U271" s="859"/>
      <c r="V271" s="1115"/>
      <c r="W271" s="293"/>
      <c r="X271" s="778"/>
      <c r="Y271" s="778"/>
      <c r="Z271" s="778"/>
      <c r="AA271" s="778"/>
      <c r="AB271" s="254"/>
    </row>
    <row r="272" spans="1:29" s="201" customFormat="1" ht="27" customHeight="1" x14ac:dyDescent="0.3">
      <c r="A272" s="488"/>
      <c r="B272" s="959"/>
      <c r="C272" s="278"/>
      <c r="D272" s="737" t="s">
        <v>669</v>
      </c>
      <c r="E272" s="738"/>
      <c r="F272" s="738"/>
      <c r="G272" s="767"/>
      <c r="H272" s="308"/>
      <c r="I272" s="737" t="s">
        <v>165</v>
      </c>
      <c r="J272" s="738"/>
      <c r="K272" s="738"/>
      <c r="L272" s="767"/>
      <c r="M272" s="308"/>
      <c r="N272" s="737" t="s">
        <v>9</v>
      </c>
      <c r="O272" s="738"/>
      <c r="P272" s="738"/>
      <c r="Q272" s="767"/>
      <c r="R272" s="308"/>
      <c r="S272" s="737" t="s">
        <v>10</v>
      </c>
      <c r="T272" s="738"/>
      <c r="U272" s="738"/>
      <c r="V272" s="767"/>
      <c r="W272" s="308"/>
      <c r="X272" s="939"/>
      <c r="Y272" s="939"/>
      <c r="Z272" s="939"/>
      <c r="AA272" s="939"/>
      <c r="AB272" s="259"/>
      <c r="AC272" s="435"/>
    </row>
    <row r="273" spans="1:29" ht="16.2" customHeight="1" thickBot="1" x14ac:dyDescent="0.3">
      <c r="A273" s="476"/>
      <c r="B273" s="959"/>
      <c r="C273" s="278"/>
      <c r="D273" s="741">
        <v>0.13</v>
      </c>
      <c r="E273" s="742"/>
      <c r="F273" s="716">
        <v>8</v>
      </c>
      <c r="G273" s="717"/>
      <c r="H273" s="293"/>
      <c r="I273" s="865">
        <v>0.5</v>
      </c>
      <c r="J273" s="866"/>
      <c r="K273" s="716">
        <v>0</v>
      </c>
      <c r="L273" s="717"/>
      <c r="M273" s="293"/>
      <c r="N273" s="1116">
        <v>0.2</v>
      </c>
      <c r="O273" s="1117"/>
      <c r="P273" s="765">
        <v>0</v>
      </c>
      <c r="Q273" s="766"/>
      <c r="R273" s="293"/>
      <c r="S273" s="1116">
        <v>0.23</v>
      </c>
      <c r="T273" s="1117"/>
      <c r="U273" s="765">
        <v>0</v>
      </c>
      <c r="V273" s="766"/>
      <c r="W273" s="293"/>
      <c r="X273" s="976"/>
      <c r="Y273" s="976"/>
      <c r="Z273" s="862"/>
      <c r="AA273" s="862"/>
      <c r="AB273" s="254"/>
    </row>
    <row r="274" spans="1:29" s="595" customFormat="1" ht="16.2" customHeight="1" x14ac:dyDescent="0.25">
      <c r="A274" s="589"/>
      <c r="B274" s="959"/>
      <c r="C274" s="278"/>
      <c r="D274" s="635">
        <f>D273*G274</f>
        <v>39</v>
      </c>
      <c r="E274" s="578"/>
      <c r="F274" s="590" t="s">
        <v>295</v>
      </c>
      <c r="G274" s="591">
        <v>300</v>
      </c>
      <c r="H274" s="577"/>
      <c r="I274" s="635">
        <f>I273*L274</f>
        <v>50</v>
      </c>
      <c r="J274" s="578"/>
      <c r="K274" s="590" t="s">
        <v>295</v>
      </c>
      <c r="L274" s="591">
        <v>100</v>
      </c>
      <c r="M274" s="577"/>
      <c r="N274" s="635">
        <f>N273*Q274</f>
        <v>46</v>
      </c>
      <c r="O274" s="578"/>
      <c r="P274" s="590" t="s">
        <v>295</v>
      </c>
      <c r="Q274" s="591">
        <v>230</v>
      </c>
      <c r="R274" s="577"/>
      <c r="S274" s="635">
        <f>S273*V274</f>
        <v>46</v>
      </c>
      <c r="T274" s="578"/>
      <c r="U274" s="590" t="s">
        <v>295</v>
      </c>
      <c r="V274" s="591">
        <v>200</v>
      </c>
      <c r="W274" s="577"/>
      <c r="X274" s="599"/>
      <c r="Y274" s="599"/>
      <c r="Z274" s="582"/>
      <c r="AA274" s="600"/>
      <c r="AB274" s="593"/>
      <c r="AC274" s="594"/>
    </row>
    <row r="275" spans="1:29" s="199" customFormat="1" ht="10.199999999999999" customHeight="1" x14ac:dyDescent="0.25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 x14ac:dyDescent="0.25">
      <c r="A276" s="476"/>
      <c r="B276" s="959" t="s">
        <v>182</v>
      </c>
      <c r="C276" s="278"/>
      <c r="D276" s="743"/>
      <c r="E276" s="744"/>
      <c r="F276" s="744"/>
      <c r="G276" s="745"/>
      <c r="H276" s="293"/>
      <c r="I276" s="720"/>
      <c r="J276" s="721"/>
      <c r="K276" s="721"/>
      <c r="L276" s="722"/>
      <c r="M276" s="293"/>
      <c r="N276" s="743"/>
      <c r="O276" s="744"/>
      <c r="P276" s="744"/>
      <c r="Q276" s="745"/>
      <c r="R276" s="293"/>
      <c r="S276" s="718"/>
      <c r="T276" s="718"/>
      <c r="U276" s="718"/>
      <c r="V276" s="718"/>
      <c r="W276" s="293"/>
      <c r="X276" s="718"/>
      <c r="Y276" s="718"/>
      <c r="Z276" s="718"/>
      <c r="AA276" s="718"/>
      <c r="AB276" s="254"/>
    </row>
    <row r="277" spans="1:29" ht="13.8" x14ac:dyDescent="0.25">
      <c r="A277" s="476"/>
      <c r="B277" s="959"/>
      <c r="C277" s="278"/>
      <c r="D277" s="705"/>
      <c r="E277" s="706"/>
      <c r="F277" s="706"/>
      <c r="G277" s="707"/>
      <c r="H277" s="293"/>
      <c r="I277" s="899"/>
      <c r="J277" s="768"/>
      <c r="K277" s="768"/>
      <c r="L277" s="900"/>
      <c r="M277" s="293"/>
      <c r="N277" s="705"/>
      <c r="O277" s="706"/>
      <c r="P277" s="706"/>
      <c r="Q277" s="707"/>
      <c r="R277" s="293"/>
      <c r="S277" s="718"/>
      <c r="T277" s="718"/>
      <c r="U277" s="718"/>
      <c r="V277" s="718"/>
      <c r="W277" s="293"/>
      <c r="X277" s="718"/>
      <c r="Y277" s="718"/>
      <c r="Z277" s="718"/>
      <c r="AA277" s="718"/>
      <c r="AB277" s="254"/>
    </row>
    <row r="278" spans="1:29" ht="13.8" x14ac:dyDescent="0.25">
      <c r="A278" s="476"/>
      <c r="B278" s="959"/>
      <c r="C278" s="278"/>
      <c r="D278" s="705"/>
      <c r="E278" s="706"/>
      <c r="F278" s="706"/>
      <c r="G278" s="707"/>
      <c r="H278" s="293"/>
      <c r="I278" s="899"/>
      <c r="J278" s="768"/>
      <c r="K278" s="768"/>
      <c r="L278" s="900"/>
      <c r="M278" s="293"/>
      <c r="N278" s="705"/>
      <c r="O278" s="706"/>
      <c r="P278" s="706"/>
      <c r="Q278" s="707"/>
      <c r="R278" s="293"/>
      <c r="S278" s="718"/>
      <c r="T278" s="718"/>
      <c r="U278" s="718"/>
      <c r="V278" s="718"/>
      <c r="W278" s="293"/>
      <c r="X278" s="322"/>
      <c r="Y278" s="322"/>
      <c r="Z278" s="322"/>
      <c r="AA278" s="322"/>
      <c r="AB278" s="254"/>
    </row>
    <row r="279" spans="1:29" ht="13.8" x14ac:dyDescent="0.25">
      <c r="A279" s="476"/>
      <c r="B279" s="959"/>
      <c r="C279" s="278"/>
      <c r="D279" s="316"/>
      <c r="E279" s="317"/>
      <c r="F279" s="317"/>
      <c r="G279" s="318"/>
      <c r="H279" s="293"/>
      <c r="I279" s="899"/>
      <c r="J279" s="768"/>
      <c r="K279" s="768"/>
      <c r="L279" s="900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18"/>
      <c r="Y279" s="718"/>
      <c r="Z279" s="718"/>
      <c r="AA279" s="718"/>
      <c r="AB279" s="254"/>
    </row>
    <row r="280" spans="1:29" ht="13.8" x14ac:dyDescent="0.25">
      <c r="A280" s="476"/>
      <c r="B280" s="959"/>
      <c r="C280" s="278"/>
      <c r="D280" s="705"/>
      <c r="E280" s="706"/>
      <c r="F280" s="706"/>
      <c r="G280" s="707"/>
      <c r="H280" s="293"/>
      <c r="I280" s="899"/>
      <c r="J280" s="768"/>
      <c r="K280" s="768"/>
      <c r="L280" s="900"/>
      <c r="M280" s="293"/>
      <c r="N280" s="705"/>
      <c r="O280" s="706"/>
      <c r="P280" s="706"/>
      <c r="Q280" s="707"/>
      <c r="R280" s="293"/>
      <c r="S280" s="718"/>
      <c r="T280" s="718"/>
      <c r="U280" s="718"/>
      <c r="V280" s="718"/>
      <c r="W280" s="293"/>
      <c r="X280" s="718"/>
      <c r="Y280" s="718"/>
      <c r="Z280" s="718"/>
      <c r="AA280" s="718"/>
      <c r="AB280" s="254"/>
    </row>
    <row r="281" spans="1:29" ht="13.8" x14ac:dyDescent="0.25">
      <c r="A281" s="476"/>
      <c r="B281" s="959"/>
      <c r="C281" s="278"/>
      <c r="D281" s="708"/>
      <c r="E281" s="709"/>
      <c r="F281" s="709"/>
      <c r="G281" s="710"/>
      <c r="H281" s="293"/>
      <c r="I281" s="901"/>
      <c r="J281" s="902"/>
      <c r="K281" s="902"/>
      <c r="L281" s="903"/>
      <c r="M281" s="293"/>
      <c r="N281" s="708"/>
      <c r="O281" s="709"/>
      <c r="P281" s="709"/>
      <c r="Q281" s="710"/>
      <c r="R281" s="293"/>
      <c r="S281" s="718"/>
      <c r="T281" s="718"/>
      <c r="U281" s="718"/>
      <c r="V281" s="718"/>
      <c r="W281" s="293"/>
      <c r="X281" s="718"/>
      <c r="Y281" s="718"/>
      <c r="Z281" s="718"/>
      <c r="AA281" s="718"/>
      <c r="AB281" s="254"/>
    </row>
    <row r="282" spans="1:29" ht="13.8" x14ac:dyDescent="0.25">
      <c r="A282" s="476"/>
      <c r="B282" s="959"/>
      <c r="C282" s="278"/>
      <c r="D282" s="755" t="s">
        <v>226</v>
      </c>
      <c r="E282" s="756"/>
      <c r="F282" s="756"/>
      <c r="G282" s="757"/>
      <c r="H282" s="293"/>
      <c r="I282" s="755" t="s">
        <v>235</v>
      </c>
      <c r="J282" s="756"/>
      <c r="K282" s="756"/>
      <c r="L282" s="757"/>
      <c r="M282" s="293"/>
      <c r="N282" s="755" t="s">
        <v>227</v>
      </c>
      <c r="O282" s="756"/>
      <c r="P282" s="756"/>
      <c r="Q282" s="757"/>
      <c r="R282" s="293"/>
      <c r="S282" s="778"/>
      <c r="T282" s="778"/>
      <c r="U282" s="778"/>
      <c r="V282" s="778"/>
      <c r="W282" s="293"/>
      <c r="X282" s="778"/>
      <c r="Y282" s="778"/>
      <c r="Z282" s="778"/>
      <c r="AA282" s="778"/>
      <c r="AB282" s="254"/>
    </row>
    <row r="283" spans="1:29" s="201" customFormat="1" ht="27" customHeight="1" x14ac:dyDescent="0.3">
      <c r="A283" s="488"/>
      <c r="B283" s="959"/>
      <c r="C283" s="278"/>
      <c r="D283" s="737" t="s">
        <v>310</v>
      </c>
      <c r="E283" s="738"/>
      <c r="F283" s="738"/>
      <c r="G283" s="767"/>
      <c r="H283" s="308"/>
      <c r="I283" s="737" t="s">
        <v>842</v>
      </c>
      <c r="J283" s="738"/>
      <c r="K283" s="738"/>
      <c r="L283" s="767"/>
      <c r="M283" s="308"/>
      <c r="N283" s="737" t="s">
        <v>841</v>
      </c>
      <c r="O283" s="738"/>
      <c r="P283" s="738"/>
      <c r="Q283" s="767"/>
      <c r="R283" s="308"/>
      <c r="S283" s="939"/>
      <c r="T283" s="939"/>
      <c r="U283" s="939"/>
      <c r="V283" s="939"/>
      <c r="W283" s="308"/>
      <c r="X283" s="939"/>
      <c r="Y283" s="939"/>
      <c r="Z283" s="939"/>
      <c r="AA283" s="939"/>
      <c r="AB283" s="259"/>
      <c r="AC283" s="435"/>
    </row>
    <row r="284" spans="1:29" ht="16.2" customHeight="1" x14ac:dyDescent="0.25">
      <c r="A284" s="476"/>
      <c r="B284" s="959"/>
      <c r="C284" s="278"/>
      <c r="D284" s="974">
        <v>0.9</v>
      </c>
      <c r="E284" s="975"/>
      <c r="F284" s="751">
        <v>0</v>
      </c>
      <c r="G284" s="752"/>
      <c r="H284" s="293"/>
      <c r="I284" s="1118">
        <v>0.8</v>
      </c>
      <c r="J284" s="1119"/>
      <c r="K284" s="751">
        <v>0</v>
      </c>
      <c r="L284" s="752"/>
      <c r="M284" s="293"/>
      <c r="N284" s="741">
        <v>1.8</v>
      </c>
      <c r="O284" s="742"/>
      <c r="P284" s="751">
        <v>0</v>
      </c>
      <c r="Q284" s="752"/>
      <c r="R284" s="293"/>
      <c r="S284" s="976"/>
      <c r="T284" s="976"/>
      <c r="U284" s="862"/>
      <c r="V284" s="862"/>
      <c r="W284" s="293"/>
      <c r="X284" s="976"/>
      <c r="Y284" s="976"/>
      <c r="Z284" s="862"/>
      <c r="AA284" s="862"/>
      <c r="AB284" s="254"/>
    </row>
    <row r="285" spans="1:29" s="595" customFormat="1" ht="16.2" customHeight="1" x14ac:dyDescent="0.25">
      <c r="A285" s="589"/>
      <c r="B285" s="959"/>
      <c r="C285" s="278"/>
      <c r="D285" s="635">
        <f>D284*G285</f>
        <v>54</v>
      </c>
      <c r="E285" s="578"/>
      <c r="F285" s="590" t="s">
        <v>295</v>
      </c>
      <c r="G285" s="591">
        <v>60</v>
      </c>
      <c r="H285" s="577"/>
      <c r="I285" s="635">
        <f>I284*L285</f>
        <v>80</v>
      </c>
      <c r="J285" s="578"/>
      <c r="K285" s="590" t="s">
        <v>295</v>
      </c>
      <c r="L285" s="591">
        <v>100</v>
      </c>
      <c r="M285" s="577"/>
      <c r="N285" s="635">
        <f>N284*Q285</f>
        <v>108</v>
      </c>
      <c r="O285" s="578"/>
      <c r="P285" s="590" t="s">
        <v>295</v>
      </c>
      <c r="Q285" s="591">
        <v>60</v>
      </c>
      <c r="R285" s="577"/>
      <c r="S285" s="599"/>
      <c r="T285" s="599"/>
      <c r="U285" s="582"/>
      <c r="V285" s="600"/>
      <c r="W285" s="577"/>
      <c r="X285" s="599"/>
      <c r="Y285" s="599"/>
      <c r="Z285" s="582"/>
      <c r="AA285" s="600"/>
      <c r="AB285" s="593"/>
      <c r="AC285" s="594"/>
    </row>
    <row r="286" spans="1:29" ht="10.199999999999999" customHeight="1" x14ac:dyDescent="0.25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 x14ac:dyDescent="0.25">
      <c r="A287" s="476"/>
      <c r="B287" s="959" t="s">
        <v>168</v>
      </c>
      <c r="C287" s="288"/>
      <c r="D287" s="743"/>
      <c r="E287" s="744"/>
      <c r="F287" s="744"/>
      <c r="G287" s="745"/>
      <c r="H287" s="293"/>
      <c r="I287" s="743"/>
      <c r="J287" s="744"/>
      <c r="K287" s="744"/>
      <c r="L287" s="745"/>
      <c r="M287" s="293"/>
      <c r="N287" s="743"/>
      <c r="O287" s="744"/>
      <c r="P287" s="744"/>
      <c r="Q287" s="745"/>
      <c r="R287" s="293"/>
      <c r="S287" s="718"/>
      <c r="T287" s="718"/>
      <c r="U287" s="718"/>
      <c r="V287" s="718"/>
      <c r="W287" s="293"/>
      <c r="X287" s="718"/>
      <c r="Y287" s="718"/>
      <c r="Z287" s="718"/>
      <c r="AA287" s="718"/>
      <c r="AB287" s="254"/>
    </row>
    <row r="288" spans="1:29" ht="13.8" x14ac:dyDescent="0.25">
      <c r="A288" s="476"/>
      <c r="B288" s="959"/>
      <c r="C288" s="288"/>
      <c r="D288" s="705"/>
      <c r="E288" s="706"/>
      <c r="F288" s="706"/>
      <c r="G288" s="707"/>
      <c r="H288" s="293"/>
      <c r="I288" s="705"/>
      <c r="J288" s="706"/>
      <c r="K288" s="706"/>
      <c r="L288" s="707"/>
      <c r="M288" s="293"/>
      <c r="N288" s="705"/>
      <c r="O288" s="706"/>
      <c r="P288" s="706"/>
      <c r="Q288" s="707"/>
      <c r="R288" s="293"/>
      <c r="S288" s="718"/>
      <c r="T288" s="718"/>
      <c r="U288" s="718"/>
      <c r="V288" s="718"/>
      <c r="W288" s="293"/>
      <c r="X288" s="718"/>
      <c r="Y288" s="718"/>
      <c r="Z288" s="718"/>
      <c r="AA288" s="718"/>
      <c r="AB288" s="254"/>
    </row>
    <row r="289" spans="1:29" ht="13.8" x14ac:dyDescent="0.25">
      <c r="A289" s="476"/>
      <c r="B289" s="959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3.8" x14ac:dyDescent="0.25">
      <c r="A290" s="476"/>
      <c r="B290" s="959"/>
      <c r="C290" s="288"/>
      <c r="D290" s="705"/>
      <c r="E290" s="706"/>
      <c r="F290" s="706"/>
      <c r="G290" s="707"/>
      <c r="H290" s="293"/>
      <c r="I290" s="705"/>
      <c r="J290" s="706"/>
      <c r="K290" s="706"/>
      <c r="L290" s="707"/>
      <c r="M290" s="293"/>
      <c r="N290" s="705"/>
      <c r="O290" s="706"/>
      <c r="P290" s="706"/>
      <c r="Q290" s="707"/>
      <c r="R290" s="293"/>
      <c r="S290" s="718"/>
      <c r="T290" s="718"/>
      <c r="U290" s="718"/>
      <c r="V290" s="718"/>
      <c r="W290" s="293"/>
      <c r="X290" s="718"/>
      <c r="Y290" s="718"/>
      <c r="Z290" s="718"/>
      <c r="AA290" s="718"/>
      <c r="AB290" s="254"/>
    </row>
    <row r="291" spans="1:29" ht="13.8" x14ac:dyDescent="0.25">
      <c r="A291" s="476"/>
      <c r="B291" s="959"/>
      <c r="C291" s="288"/>
      <c r="D291" s="705"/>
      <c r="E291" s="706"/>
      <c r="F291" s="706"/>
      <c r="G291" s="707"/>
      <c r="H291" s="293"/>
      <c r="I291" s="705"/>
      <c r="J291" s="706"/>
      <c r="K291" s="706"/>
      <c r="L291" s="707"/>
      <c r="M291" s="293"/>
      <c r="N291" s="705"/>
      <c r="O291" s="706"/>
      <c r="P291" s="706"/>
      <c r="Q291" s="707"/>
      <c r="R291" s="293"/>
      <c r="S291" s="718"/>
      <c r="T291" s="718"/>
      <c r="U291" s="718"/>
      <c r="V291" s="718"/>
      <c r="W291" s="293"/>
      <c r="X291" s="718"/>
      <c r="Y291" s="718"/>
      <c r="Z291" s="718"/>
      <c r="AA291" s="718"/>
      <c r="AB291" s="254"/>
    </row>
    <row r="292" spans="1:29" ht="13.8" x14ac:dyDescent="0.25">
      <c r="A292" s="476"/>
      <c r="B292" s="959"/>
      <c r="C292" s="288"/>
      <c r="D292" s="708"/>
      <c r="E292" s="709"/>
      <c r="F292" s="709"/>
      <c r="G292" s="710"/>
      <c r="H292" s="293"/>
      <c r="I292" s="708"/>
      <c r="J292" s="709"/>
      <c r="K292" s="709"/>
      <c r="L292" s="710"/>
      <c r="M292" s="293"/>
      <c r="N292" s="708"/>
      <c r="O292" s="709"/>
      <c r="P292" s="709"/>
      <c r="Q292" s="710"/>
      <c r="R292" s="293"/>
      <c r="S292" s="718"/>
      <c r="T292" s="718"/>
      <c r="U292" s="718"/>
      <c r="V292" s="718"/>
      <c r="W292" s="293"/>
      <c r="X292" s="718"/>
      <c r="Y292" s="718"/>
      <c r="Z292" s="718"/>
      <c r="AA292" s="718"/>
      <c r="AB292" s="254"/>
    </row>
    <row r="293" spans="1:29" ht="13.8" x14ac:dyDescent="0.25">
      <c r="A293" s="476"/>
      <c r="B293" s="959"/>
      <c r="C293" s="288"/>
      <c r="D293" s="755" t="s">
        <v>228</v>
      </c>
      <c r="E293" s="756"/>
      <c r="F293" s="756"/>
      <c r="G293" s="757"/>
      <c r="H293" s="293"/>
      <c r="I293" s="755" t="s">
        <v>220</v>
      </c>
      <c r="J293" s="756"/>
      <c r="K293" s="756"/>
      <c r="L293" s="757"/>
      <c r="M293" s="293"/>
      <c r="N293" s="755" t="s">
        <v>190</v>
      </c>
      <c r="O293" s="756"/>
      <c r="P293" s="756"/>
      <c r="Q293" s="757"/>
      <c r="R293" s="293"/>
      <c r="S293" s="778"/>
      <c r="T293" s="778"/>
      <c r="U293" s="778"/>
      <c r="V293" s="778"/>
      <c r="W293" s="293"/>
      <c r="X293" s="778"/>
      <c r="Y293" s="778"/>
      <c r="Z293" s="778"/>
      <c r="AA293" s="778"/>
      <c r="AB293" s="254"/>
    </row>
    <row r="294" spans="1:29" s="201" customFormat="1" ht="27" customHeight="1" x14ac:dyDescent="0.3">
      <c r="A294" s="488"/>
      <c r="B294" s="959"/>
      <c r="C294" s="288"/>
      <c r="D294" s="737" t="s">
        <v>670</v>
      </c>
      <c r="E294" s="738"/>
      <c r="F294" s="738"/>
      <c r="G294" s="767"/>
      <c r="H294" s="308"/>
      <c r="I294" s="737" t="s">
        <v>11</v>
      </c>
      <c r="J294" s="738"/>
      <c r="K294" s="738"/>
      <c r="L294" s="767"/>
      <c r="M294" s="308"/>
      <c r="N294" s="737" t="s">
        <v>0</v>
      </c>
      <c r="O294" s="738"/>
      <c r="P294" s="738"/>
      <c r="Q294" s="767"/>
      <c r="R294" s="308"/>
      <c r="S294" s="939"/>
      <c r="T294" s="939"/>
      <c r="U294" s="939"/>
      <c r="V294" s="939"/>
      <c r="W294" s="308"/>
      <c r="X294" s="939"/>
      <c r="Y294" s="939"/>
      <c r="Z294" s="939"/>
      <c r="AA294" s="939"/>
      <c r="AB294" s="259"/>
      <c r="AC294" s="435"/>
    </row>
    <row r="295" spans="1:29" ht="16.2" customHeight="1" x14ac:dyDescent="0.25">
      <c r="A295" s="476"/>
      <c r="B295" s="959"/>
      <c r="C295" s="288"/>
      <c r="D295" s="741">
        <v>1</v>
      </c>
      <c r="E295" s="742"/>
      <c r="F295" s="751">
        <v>0</v>
      </c>
      <c r="G295" s="752"/>
      <c r="H295" s="293"/>
      <c r="I295" s="741">
        <v>6.5</v>
      </c>
      <c r="J295" s="742"/>
      <c r="K295" s="751">
        <v>0</v>
      </c>
      <c r="L295" s="752"/>
      <c r="M295" s="293"/>
      <c r="N295" s="741">
        <v>3</v>
      </c>
      <c r="O295" s="742"/>
      <c r="P295" s="751">
        <v>0</v>
      </c>
      <c r="Q295" s="752"/>
      <c r="R295" s="293"/>
      <c r="S295" s="976"/>
      <c r="T295" s="976"/>
      <c r="U295" s="862"/>
      <c r="V295" s="862"/>
      <c r="W295" s="293"/>
      <c r="X295" s="976"/>
      <c r="Y295" s="976"/>
      <c r="Z295" s="862"/>
      <c r="AA295" s="862"/>
      <c r="AB295" s="254"/>
    </row>
    <row r="296" spans="1:29" s="595" customFormat="1" ht="16.2" customHeight="1" x14ac:dyDescent="0.25">
      <c r="A296" s="589"/>
      <c r="B296" s="959"/>
      <c r="C296" s="288"/>
      <c r="D296" s="635">
        <f>D295*G296</f>
        <v>200</v>
      </c>
      <c r="E296" s="578"/>
      <c r="F296" s="590" t="s">
        <v>295</v>
      </c>
      <c r="G296" s="591">
        <v>200</v>
      </c>
      <c r="H296" s="577"/>
      <c r="I296" s="635">
        <f>I295*L296</f>
        <v>650</v>
      </c>
      <c r="J296" s="578"/>
      <c r="K296" s="590" t="s">
        <v>295</v>
      </c>
      <c r="L296" s="591">
        <v>100</v>
      </c>
      <c r="M296" s="577"/>
      <c r="N296" s="635">
        <f>N295*Q296</f>
        <v>315</v>
      </c>
      <c r="O296" s="578"/>
      <c r="P296" s="590" t="s">
        <v>295</v>
      </c>
      <c r="Q296" s="591">
        <v>105</v>
      </c>
      <c r="R296" s="577"/>
      <c r="S296" s="599"/>
      <c r="T296" s="599"/>
      <c r="U296" s="582"/>
      <c r="V296" s="600"/>
      <c r="W296" s="577"/>
      <c r="X296" s="599"/>
      <c r="Y296" s="599"/>
      <c r="Z296" s="582"/>
      <c r="AA296" s="600"/>
      <c r="AB296" s="593"/>
      <c r="AC296" s="594"/>
    </row>
    <row r="297" spans="1:29" s="199" customFormat="1" ht="10.199999999999999" customHeight="1" x14ac:dyDescent="0.25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3.8" x14ac:dyDescent="0.25">
      <c r="A298" s="476"/>
      <c r="B298" s="959" t="s">
        <v>486</v>
      </c>
      <c r="C298" s="278"/>
      <c r="D298" s="743"/>
      <c r="E298" s="744"/>
      <c r="F298" s="744"/>
      <c r="G298" s="745"/>
      <c r="H298" s="293"/>
      <c r="I298" s="743"/>
      <c r="J298" s="744"/>
      <c r="K298" s="744"/>
      <c r="L298" s="745"/>
      <c r="M298" s="293"/>
      <c r="N298" s="720"/>
      <c r="O298" s="721"/>
      <c r="P298" s="721"/>
      <c r="Q298" s="722"/>
      <c r="R298" s="293"/>
      <c r="S298" s="743"/>
      <c r="T298" s="744"/>
      <c r="U298" s="744"/>
      <c r="V298" s="745"/>
      <c r="W298" s="293"/>
      <c r="X298" s="724"/>
      <c r="Y298" s="724"/>
      <c r="Z298" s="724"/>
      <c r="AA298" s="724"/>
      <c r="AB298" s="254"/>
    </row>
    <row r="299" spans="1:29" ht="13.8" x14ac:dyDescent="0.25">
      <c r="A299" s="476"/>
      <c r="B299" s="959"/>
      <c r="C299" s="278"/>
      <c r="D299" s="705"/>
      <c r="E299" s="706"/>
      <c r="F299" s="706"/>
      <c r="G299" s="707"/>
      <c r="H299" s="293"/>
      <c r="I299" s="705"/>
      <c r="J299" s="706"/>
      <c r="K299" s="706"/>
      <c r="L299" s="707"/>
      <c r="M299" s="293"/>
      <c r="N299" s="705"/>
      <c r="O299" s="706"/>
      <c r="P299" s="706"/>
      <c r="Q299" s="707"/>
      <c r="R299" s="293"/>
      <c r="S299" s="705"/>
      <c r="T299" s="706"/>
      <c r="U299" s="706"/>
      <c r="V299" s="707"/>
      <c r="W299" s="293"/>
      <c r="X299" s="768"/>
      <c r="Y299" s="769"/>
      <c r="Z299" s="769"/>
      <c r="AA299" s="768"/>
      <c r="AB299" s="254"/>
    </row>
    <row r="300" spans="1:29" ht="13.8" x14ac:dyDescent="0.25">
      <c r="A300" s="476"/>
      <c r="B300" s="959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68"/>
      <c r="Y300" s="769"/>
      <c r="Z300" s="769"/>
      <c r="AA300" s="768"/>
      <c r="AB300" s="254"/>
    </row>
    <row r="301" spans="1:29" ht="13.8" x14ac:dyDescent="0.25">
      <c r="A301" s="476"/>
      <c r="B301" s="959"/>
      <c r="C301" s="278"/>
      <c r="D301" s="705"/>
      <c r="E301" s="706"/>
      <c r="F301" s="706"/>
      <c r="G301" s="707"/>
      <c r="H301" s="293"/>
      <c r="I301" s="705"/>
      <c r="J301" s="706"/>
      <c r="K301" s="706"/>
      <c r="L301" s="707"/>
      <c r="M301" s="293"/>
      <c r="N301" s="705"/>
      <c r="O301" s="706"/>
      <c r="P301" s="706"/>
      <c r="Q301" s="707"/>
      <c r="R301" s="293"/>
      <c r="S301" s="705"/>
      <c r="T301" s="706"/>
      <c r="U301" s="706"/>
      <c r="V301" s="707"/>
      <c r="W301" s="293"/>
      <c r="X301" s="768"/>
      <c r="Y301" s="769"/>
      <c r="Z301" s="769"/>
      <c r="AA301" s="768"/>
      <c r="AB301" s="254"/>
    </row>
    <row r="302" spans="1:29" ht="13.8" x14ac:dyDescent="0.25">
      <c r="A302" s="476"/>
      <c r="B302" s="959"/>
      <c r="C302" s="278"/>
      <c r="D302" s="705"/>
      <c r="E302" s="706"/>
      <c r="F302" s="706"/>
      <c r="G302" s="707"/>
      <c r="H302" s="293"/>
      <c r="I302" s="705"/>
      <c r="J302" s="706"/>
      <c r="K302" s="706"/>
      <c r="L302" s="707"/>
      <c r="M302" s="293"/>
      <c r="N302" s="705"/>
      <c r="O302" s="706"/>
      <c r="P302" s="706"/>
      <c r="Q302" s="707"/>
      <c r="R302" s="293"/>
      <c r="S302" s="705"/>
      <c r="T302" s="706"/>
      <c r="U302" s="706"/>
      <c r="V302" s="707"/>
      <c r="W302" s="293"/>
      <c r="X302" s="768"/>
      <c r="Y302" s="769"/>
      <c r="Z302" s="769"/>
      <c r="AA302" s="768"/>
      <c r="AB302" s="254"/>
    </row>
    <row r="303" spans="1:29" ht="13.8" x14ac:dyDescent="0.25">
      <c r="A303" s="476"/>
      <c r="B303" s="959"/>
      <c r="C303" s="278"/>
      <c r="D303" s="708"/>
      <c r="E303" s="709"/>
      <c r="F303" s="709"/>
      <c r="G303" s="710"/>
      <c r="H303" s="293"/>
      <c r="I303" s="708"/>
      <c r="J303" s="709"/>
      <c r="K303" s="709"/>
      <c r="L303" s="710"/>
      <c r="M303" s="293"/>
      <c r="N303" s="708"/>
      <c r="O303" s="709"/>
      <c r="P303" s="709"/>
      <c r="Q303" s="710"/>
      <c r="R303" s="293"/>
      <c r="S303" s="708"/>
      <c r="T303" s="709"/>
      <c r="U303" s="709"/>
      <c r="V303" s="710"/>
      <c r="W303" s="293"/>
      <c r="X303" s="768"/>
      <c r="Y303" s="768"/>
      <c r="Z303" s="768"/>
      <c r="AA303" s="768"/>
      <c r="AB303" s="254"/>
    </row>
    <row r="304" spans="1:29" ht="13.8" x14ac:dyDescent="0.25">
      <c r="A304" s="476"/>
      <c r="B304" s="959"/>
      <c r="C304" s="278"/>
      <c r="D304" s="755" t="s">
        <v>427</v>
      </c>
      <c r="E304" s="756"/>
      <c r="F304" s="756"/>
      <c r="G304" s="757"/>
      <c r="H304" s="293"/>
      <c r="I304" s="755" t="s">
        <v>191</v>
      </c>
      <c r="J304" s="756"/>
      <c r="K304" s="756"/>
      <c r="L304" s="757"/>
      <c r="M304" s="293"/>
      <c r="N304" s="790" t="s">
        <v>383</v>
      </c>
      <c r="O304" s="791"/>
      <c r="P304" s="791"/>
      <c r="Q304" s="792"/>
      <c r="R304" s="293"/>
      <c r="S304" s="755" t="s">
        <v>229</v>
      </c>
      <c r="T304" s="756"/>
      <c r="U304" s="756"/>
      <c r="V304" s="757"/>
      <c r="W304" s="293"/>
      <c r="X304" s="755" t="s">
        <v>575</v>
      </c>
      <c r="Y304" s="756"/>
      <c r="Z304" s="756"/>
      <c r="AA304" s="757"/>
      <c r="AB304" s="254"/>
    </row>
    <row r="305" spans="1:29" s="201" customFormat="1" ht="27" customHeight="1" thickBot="1" x14ac:dyDescent="0.35">
      <c r="A305" s="488"/>
      <c r="B305" s="959"/>
      <c r="C305" s="278"/>
      <c r="D305" s="737" t="s">
        <v>834</v>
      </c>
      <c r="E305" s="738"/>
      <c r="F305" s="738"/>
      <c r="G305" s="767"/>
      <c r="H305" s="308"/>
      <c r="I305" s="737" t="s">
        <v>672</v>
      </c>
      <c r="J305" s="738"/>
      <c r="K305" s="738"/>
      <c r="L305" s="767"/>
      <c r="M305" s="308"/>
      <c r="N305" s="737" t="s">
        <v>674</v>
      </c>
      <c r="O305" s="738"/>
      <c r="P305" s="738"/>
      <c r="Q305" s="767"/>
      <c r="R305" s="308"/>
      <c r="S305" s="737" t="s">
        <v>673</v>
      </c>
      <c r="T305" s="738"/>
      <c r="U305" s="738"/>
      <c r="V305" s="767"/>
      <c r="W305" s="308"/>
      <c r="X305" s="770" t="s">
        <v>675</v>
      </c>
      <c r="Y305" s="771"/>
      <c r="Z305" s="771"/>
      <c r="AA305" s="772"/>
      <c r="AB305" s="259"/>
      <c r="AC305" s="435"/>
    </row>
    <row r="306" spans="1:29" ht="16.2" customHeight="1" thickBot="1" x14ac:dyDescent="0.3">
      <c r="A306" s="476"/>
      <c r="B306" s="959"/>
      <c r="C306" s="278"/>
      <c r="D306" s="741">
        <v>3.5</v>
      </c>
      <c r="E306" s="742"/>
      <c r="F306" s="751">
        <v>0</v>
      </c>
      <c r="G306" s="752"/>
      <c r="H306" s="293"/>
      <c r="I306" s="741">
        <v>7.25</v>
      </c>
      <c r="J306" s="742"/>
      <c r="K306" s="751">
        <v>0</v>
      </c>
      <c r="L306" s="752"/>
      <c r="M306" s="293"/>
      <c r="N306" s="870">
        <v>1.5</v>
      </c>
      <c r="O306" s="871"/>
      <c r="P306" s="872">
        <v>0</v>
      </c>
      <c r="Q306" s="873"/>
      <c r="R306" s="293"/>
      <c r="S306" s="865">
        <v>1.5</v>
      </c>
      <c r="T306" s="866"/>
      <c r="U306" s="751">
        <v>0</v>
      </c>
      <c r="V306" s="752"/>
      <c r="W306" s="293"/>
      <c r="X306" s="898">
        <v>3.95</v>
      </c>
      <c r="Y306" s="712"/>
      <c r="Z306" s="713">
        <v>0</v>
      </c>
      <c r="AA306" s="904"/>
      <c r="AB306" s="254"/>
    </row>
    <row r="307" spans="1:29" s="595" customFormat="1" ht="16.2" customHeight="1" x14ac:dyDescent="0.25">
      <c r="A307" s="589"/>
      <c r="B307" s="959"/>
      <c r="C307" s="278"/>
      <c r="D307" s="635">
        <f>D306*G307</f>
        <v>70</v>
      </c>
      <c r="E307" s="578"/>
      <c r="F307" s="590" t="s">
        <v>295</v>
      </c>
      <c r="G307" s="591">
        <v>20</v>
      </c>
      <c r="H307" s="577"/>
      <c r="I307" s="635">
        <f>I306*L307</f>
        <v>362.5</v>
      </c>
      <c r="J307" s="578"/>
      <c r="K307" s="590" t="s">
        <v>295</v>
      </c>
      <c r="L307" s="591">
        <v>50</v>
      </c>
      <c r="M307" s="577"/>
      <c r="N307" s="641">
        <f>N306*Q307</f>
        <v>67.5</v>
      </c>
      <c r="O307" s="578"/>
      <c r="P307" s="590" t="s">
        <v>295</v>
      </c>
      <c r="Q307" s="591">
        <v>45</v>
      </c>
      <c r="R307" s="577"/>
      <c r="S307" s="635">
        <f>S306*V307</f>
        <v>135</v>
      </c>
      <c r="T307" s="578"/>
      <c r="U307" s="597" t="s">
        <v>295</v>
      </c>
      <c r="V307" s="598">
        <v>90</v>
      </c>
      <c r="W307" s="577"/>
      <c r="X307" s="640">
        <f>X306*AA307</f>
        <v>395</v>
      </c>
      <c r="Y307" s="601"/>
      <c r="Z307" s="602" t="s">
        <v>295</v>
      </c>
      <c r="AA307" s="603">
        <v>100</v>
      </c>
      <c r="AB307" s="593"/>
      <c r="AC307" s="594"/>
    </row>
    <row r="308" spans="1:29" s="199" customFormat="1" ht="10.199999999999999" customHeight="1" x14ac:dyDescent="0.25">
      <c r="A308" s="483"/>
      <c r="B308" s="265"/>
      <c r="C308" s="265"/>
      <c r="D308" s="331"/>
      <c r="E308" s="331"/>
      <c r="F308" s="325"/>
      <c r="G308" s="321"/>
      <c r="H308" s="293"/>
      <c r="I308" s="668"/>
      <c r="J308" s="668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3.8" x14ac:dyDescent="0.25">
      <c r="A309" s="476"/>
      <c r="B309" s="959" t="s">
        <v>166</v>
      </c>
      <c r="C309" s="278"/>
      <c r="D309" s="743"/>
      <c r="E309" s="744"/>
      <c r="F309" s="744"/>
      <c r="G309" s="745"/>
      <c r="H309" s="293"/>
      <c r="I309" s="743"/>
      <c r="J309" s="744"/>
      <c r="K309" s="744"/>
      <c r="L309" s="745"/>
      <c r="M309" s="293"/>
      <c r="N309" s="743"/>
      <c r="O309" s="744"/>
      <c r="P309" s="744"/>
      <c r="Q309" s="745"/>
      <c r="R309" s="293"/>
      <c r="S309" s="743"/>
      <c r="T309" s="744"/>
      <c r="U309" s="744"/>
      <c r="V309" s="745"/>
      <c r="W309" s="293"/>
      <c r="X309" s="743"/>
      <c r="Y309" s="744"/>
      <c r="Z309" s="744"/>
      <c r="AA309" s="745"/>
      <c r="AB309" s="254"/>
    </row>
    <row r="310" spans="1:29" ht="13.8" x14ac:dyDescent="0.25">
      <c r="A310" s="476"/>
      <c r="B310" s="959"/>
      <c r="C310" s="278"/>
      <c r="D310" s="705"/>
      <c r="E310" s="706"/>
      <c r="F310" s="706"/>
      <c r="G310" s="707"/>
      <c r="H310" s="293"/>
      <c r="I310" s="705"/>
      <c r="J310" s="706"/>
      <c r="K310" s="706"/>
      <c r="L310" s="707"/>
      <c r="M310" s="293"/>
      <c r="N310" s="705"/>
      <c r="O310" s="706"/>
      <c r="P310" s="706"/>
      <c r="Q310" s="707"/>
      <c r="R310" s="293"/>
      <c r="S310" s="705"/>
      <c r="T310" s="706"/>
      <c r="U310" s="706"/>
      <c r="V310" s="707"/>
      <c r="W310" s="293"/>
      <c r="X310" s="705"/>
      <c r="Y310" s="706"/>
      <c r="Z310" s="706"/>
      <c r="AA310" s="707"/>
      <c r="AB310" s="254"/>
    </row>
    <row r="311" spans="1:29" ht="13.8" x14ac:dyDescent="0.25">
      <c r="A311" s="476"/>
      <c r="B311" s="959"/>
      <c r="C311" s="278"/>
      <c r="D311" s="316"/>
      <c r="E311" s="317"/>
      <c r="F311" s="317"/>
      <c r="G311" s="318"/>
      <c r="H311" s="293"/>
      <c r="I311" s="660"/>
      <c r="J311" s="661"/>
      <c r="K311" s="661"/>
      <c r="L311" s="662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60"/>
      <c r="Y311" s="661"/>
      <c r="Z311" s="661"/>
      <c r="AA311" s="662"/>
      <c r="AB311" s="254"/>
    </row>
    <row r="312" spans="1:29" ht="13.8" x14ac:dyDescent="0.25">
      <c r="A312" s="476"/>
      <c r="B312" s="959"/>
      <c r="C312" s="278"/>
      <c r="D312" s="705"/>
      <c r="E312" s="706"/>
      <c r="F312" s="706"/>
      <c r="G312" s="707"/>
      <c r="H312" s="293"/>
      <c r="I312" s="705"/>
      <c r="J312" s="706"/>
      <c r="K312" s="706"/>
      <c r="L312" s="707"/>
      <c r="M312" s="293"/>
      <c r="N312" s="705"/>
      <c r="O312" s="706"/>
      <c r="P312" s="706"/>
      <c r="Q312" s="707"/>
      <c r="R312" s="293"/>
      <c r="S312" s="705"/>
      <c r="T312" s="706"/>
      <c r="U312" s="706"/>
      <c r="V312" s="707"/>
      <c r="W312" s="293"/>
      <c r="X312" s="705"/>
      <c r="Y312" s="706"/>
      <c r="Z312" s="706"/>
      <c r="AA312" s="707"/>
      <c r="AB312" s="254"/>
    </row>
    <row r="313" spans="1:29" ht="13.8" x14ac:dyDescent="0.25">
      <c r="A313" s="476"/>
      <c r="B313" s="959"/>
      <c r="C313" s="278"/>
      <c r="D313" s="705"/>
      <c r="E313" s="706"/>
      <c r="F313" s="706"/>
      <c r="G313" s="707"/>
      <c r="H313" s="293"/>
      <c r="I313" s="705"/>
      <c r="J313" s="706"/>
      <c r="K313" s="706"/>
      <c r="L313" s="707"/>
      <c r="M313" s="293"/>
      <c r="N313" s="705"/>
      <c r="O313" s="706"/>
      <c r="P313" s="706"/>
      <c r="Q313" s="707"/>
      <c r="R313" s="293"/>
      <c r="S313" s="705"/>
      <c r="T313" s="706"/>
      <c r="U313" s="706"/>
      <c r="V313" s="707"/>
      <c r="W313" s="293"/>
      <c r="X313" s="705"/>
      <c r="Y313" s="706"/>
      <c r="Z313" s="706"/>
      <c r="AA313" s="707"/>
      <c r="AB313" s="254"/>
    </row>
    <row r="314" spans="1:29" ht="13.8" x14ac:dyDescent="0.25">
      <c r="A314" s="476"/>
      <c r="B314" s="959"/>
      <c r="C314" s="278"/>
      <c r="D314" s="708"/>
      <c r="E314" s="709"/>
      <c r="F314" s="709"/>
      <c r="G314" s="710"/>
      <c r="H314" s="293"/>
      <c r="I314" s="708"/>
      <c r="J314" s="709"/>
      <c r="K314" s="709"/>
      <c r="L314" s="710"/>
      <c r="M314" s="293"/>
      <c r="N314" s="708"/>
      <c r="O314" s="709"/>
      <c r="P314" s="709"/>
      <c r="Q314" s="710"/>
      <c r="R314" s="293"/>
      <c r="S314" s="708"/>
      <c r="T314" s="709"/>
      <c r="U314" s="709"/>
      <c r="V314" s="710"/>
      <c r="W314" s="293"/>
      <c r="X314" s="708"/>
      <c r="Y314" s="709"/>
      <c r="Z314" s="709"/>
      <c r="AA314" s="710"/>
      <c r="AB314" s="254"/>
    </row>
    <row r="315" spans="1:29" ht="14.1" customHeight="1" x14ac:dyDescent="0.25">
      <c r="A315" s="476"/>
      <c r="B315" s="959"/>
      <c r="C315" s="278"/>
      <c r="D315" s="755" t="s">
        <v>192</v>
      </c>
      <c r="E315" s="756"/>
      <c r="F315" s="756"/>
      <c r="G315" s="757"/>
      <c r="H315" s="293"/>
      <c r="I315" s="755" t="s">
        <v>185</v>
      </c>
      <c r="J315" s="756"/>
      <c r="K315" s="756"/>
      <c r="L315" s="757"/>
      <c r="M315" s="293"/>
      <c r="N315" s="755" t="s">
        <v>183</v>
      </c>
      <c r="O315" s="756"/>
      <c r="P315" s="756"/>
      <c r="Q315" s="757"/>
      <c r="R315" s="293"/>
      <c r="S315" s="755" t="s">
        <v>615</v>
      </c>
      <c r="T315" s="756"/>
      <c r="U315" s="756"/>
      <c r="V315" s="757"/>
      <c r="W315" s="293"/>
      <c r="X315" s="755" t="s">
        <v>616</v>
      </c>
      <c r="Y315" s="756"/>
      <c r="Z315" s="756"/>
      <c r="AA315" s="757"/>
      <c r="AB315" s="254"/>
    </row>
    <row r="316" spans="1:29" s="201" customFormat="1" ht="27" customHeight="1" x14ac:dyDescent="0.3">
      <c r="A316" s="488"/>
      <c r="B316" s="959"/>
      <c r="C316" s="278"/>
      <c r="D316" s="737" t="s">
        <v>676</v>
      </c>
      <c r="E316" s="738"/>
      <c r="F316" s="738"/>
      <c r="G316" s="767"/>
      <c r="H316" s="308"/>
      <c r="I316" s="737" t="s">
        <v>671</v>
      </c>
      <c r="J316" s="738"/>
      <c r="K316" s="738"/>
      <c r="L316" s="767"/>
      <c r="M316" s="308"/>
      <c r="N316" s="737" t="s">
        <v>236</v>
      </c>
      <c r="O316" s="738"/>
      <c r="P316" s="738"/>
      <c r="Q316" s="767"/>
      <c r="R316" s="308"/>
      <c r="S316" s="737" t="s">
        <v>617</v>
      </c>
      <c r="T316" s="738"/>
      <c r="U316" s="738"/>
      <c r="V316" s="767"/>
      <c r="W316" s="308"/>
      <c r="X316" s="737" t="s">
        <v>618</v>
      </c>
      <c r="Y316" s="738"/>
      <c r="Z316" s="738"/>
      <c r="AA316" s="767"/>
      <c r="AB316" s="259"/>
      <c r="AC316" s="435"/>
    </row>
    <row r="317" spans="1:29" ht="16.2" customHeight="1" x14ac:dyDescent="0.25">
      <c r="A317" s="476"/>
      <c r="B317" s="959"/>
      <c r="C317" s="278"/>
      <c r="D317" s="974">
        <v>0.9</v>
      </c>
      <c r="E317" s="975"/>
      <c r="F317" s="751">
        <v>0</v>
      </c>
      <c r="G317" s="752"/>
      <c r="H317" s="293"/>
      <c r="I317" s="741">
        <v>2.5</v>
      </c>
      <c r="J317" s="742"/>
      <c r="K317" s="751">
        <v>0</v>
      </c>
      <c r="L317" s="752"/>
      <c r="M317" s="293"/>
      <c r="N317" s="741">
        <v>9</v>
      </c>
      <c r="O317" s="742"/>
      <c r="P317" s="751">
        <v>0</v>
      </c>
      <c r="Q317" s="752"/>
      <c r="R317" s="293"/>
      <c r="S317" s="741">
        <v>1200</v>
      </c>
      <c r="T317" s="742"/>
      <c r="U317" s="751">
        <v>0</v>
      </c>
      <c r="V317" s="752"/>
      <c r="W317" s="293"/>
      <c r="X317" s="741">
        <v>900</v>
      </c>
      <c r="Y317" s="742"/>
      <c r="Z317" s="751">
        <v>0</v>
      </c>
      <c r="AA317" s="752"/>
      <c r="AB317" s="254"/>
    </row>
    <row r="318" spans="1:29" s="595" customFormat="1" ht="15.9" customHeight="1" x14ac:dyDescent="0.25">
      <c r="A318" s="589"/>
      <c r="B318" s="959"/>
      <c r="C318" s="278"/>
      <c r="D318" s="635">
        <f>D317*G318</f>
        <v>180</v>
      </c>
      <c r="E318" s="578"/>
      <c r="F318" s="590" t="s">
        <v>295</v>
      </c>
      <c r="G318" s="591">
        <v>200</v>
      </c>
      <c r="H318" s="577"/>
      <c r="I318" s="635">
        <f>I317*L318</f>
        <v>100</v>
      </c>
      <c r="J318" s="578"/>
      <c r="K318" s="590" t="s">
        <v>295</v>
      </c>
      <c r="L318" s="591">
        <v>40</v>
      </c>
      <c r="M318" s="577"/>
      <c r="N318" s="635">
        <f>N317*Q318</f>
        <v>180</v>
      </c>
      <c r="O318" s="578"/>
      <c r="P318" s="590" t="s">
        <v>295</v>
      </c>
      <c r="Q318" s="591">
        <v>20</v>
      </c>
      <c r="R318" s="577"/>
      <c r="S318" s="636">
        <f>S317*V318</f>
        <v>1200</v>
      </c>
      <c r="T318" s="578"/>
      <c r="U318" s="590" t="s">
        <v>295</v>
      </c>
      <c r="V318" s="591">
        <v>1</v>
      </c>
      <c r="W318" s="577"/>
      <c r="X318" s="635">
        <f>X317*AA318</f>
        <v>900</v>
      </c>
      <c r="Y318" s="578"/>
      <c r="Z318" s="590" t="s">
        <v>295</v>
      </c>
      <c r="AA318" s="591">
        <v>1</v>
      </c>
      <c r="AB318" s="593"/>
      <c r="AC318" s="594"/>
    </row>
    <row r="319" spans="1:29" s="199" customFormat="1" ht="10.199999999999999" customHeight="1" x14ac:dyDescent="0.25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8"/>
      <c r="Y319" s="668"/>
      <c r="Z319" s="325"/>
      <c r="AA319" s="321"/>
      <c r="AB319" s="255"/>
      <c r="AC319" s="430"/>
    </row>
    <row r="320" spans="1:29" s="199" customFormat="1" ht="13.5" customHeight="1" x14ac:dyDescent="0.25">
      <c r="A320" s="483"/>
      <c r="B320" s="959" t="s">
        <v>473</v>
      </c>
      <c r="C320" s="278"/>
      <c r="D320" s="720"/>
      <c r="E320" s="721"/>
      <c r="F320" s="721"/>
      <c r="G320" s="722"/>
      <c r="H320" s="293"/>
      <c r="I320" s="720"/>
      <c r="J320" s="721"/>
      <c r="K320" s="721"/>
      <c r="L320" s="722"/>
      <c r="M320" s="293"/>
      <c r="N320" s="720"/>
      <c r="O320" s="721"/>
      <c r="P320" s="721"/>
      <c r="Q320" s="722"/>
      <c r="R320" s="293"/>
      <c r="S320" s="720"/>
      <c r="T320" s="721"/>
      <c r="U320" s="721"/>
      <c r="V320" s="722"/>
      <c r="W320" s="293"/>
      <c r="X320" s="720"/>
      <c r="Y320" s="721"/>
      <c r="Z320" s="721"/>
      <c r="AA320" s="722"/>
      <c r="AB320" s="255"/>
      <c r="AC320" s="430"/>
    </row>
    <row r="321" spans="1:29" s="199" customFormat="1" ht="13.5" customHeight="1" x14ac:dyDescent="0.25">
      <c r="A321" s="483"/>
      <c r="B321" s="959"/>
      <c r="C321" s="278"/>
      <c r="D321" s="899"/>
      <c r="E321" s="768"/>
      <c r="F321" s="768"/>
      <c r="G321" s="900"/>
      <c r="H321" s="293"/>
      <c r="I321" s="899"/>
      <c r="J321" s="768"/>
      <c r="K321" s="768"/>
      <c r="L321" s="900"/>
      <c r="M321" s="293"/>
      <c r="N321" s="899"/>
      <c r="O321" s="768"/>
      <c r="P321" s="768"/>
      <c r="Q321" s="900"/>
      <c r="R321" s="293"/>
      <c r="S321" s="899"/>
      <c r="T321" s="768"/>
      <c r="U321" s="768"/>
      <c r="V321" s="900"/>
      <c r="W321" s="293"/>
      <c r="X321" s="723"/>
      <c r="Y321" s="724"/>
      <c r="Z321" s="724"/>
      <c r="AA321" s="725"/>
      <c r="AB321" s="255"/>
      <c r="AC321" s="430"/>
    </row>
    <row r="322" spans="1:29" s="199" customFormat="1" ht="13.5" customHeight="1" x14ac:dyDescent="0.25">
      <c r="A322" s="483"/>
      <c r="B322" s="959"/>
      <c r="C322" s="278"/>
      <c r="D322" s="899"/>
      <c r="E322" s="768"/>
      <c r="F322" s="768"/>
      <c r="G322" s="900"/>
      <c r="H322" s="293"/>
      <c r="I322" s="899"/>
      <c r="J322" s="768"/>
      <c r="K322" s="768"/>
      <c r="L322" s="900"/>
      <c r="M322" s="293"/>
      <c r="N322" s="899"/>
      <c r="O322" s="768"/>
      <c r="P322" s="768"/>
      <c r="Q322" s="900"/>
      <c r="R322" s="293"/>
      <c r="S322" s="899"/>
      <c r="T322" s="768"/>
      <c r="U322" s="768"/>
      <c r="V322" s="900"/>
      <c r="W322" s="293"/>
      <c r="X322" s="664"/>
      <c r="Y322" s="665"/>
      <c r="Z322" s="665"/>
      <c r="AA322" s="666"/>
      <c r="AB322" s="255"/>
      <c r="AC322" s="430"/>
    </row>
    <row r="323" spans="1:29" s="199" customFormat="1" ht="13.5" customHeight="1" x14ac:dyDescent="0.25">
      <c r="A323" s="483"/>
      <c r="B323" s="959"/>
      <c r="C323" s="278"/>
      <c r="D323" s="899"/>
      <c r="E323" s="768"/>
      <c r="F323" s="768"/>
      <c r="G323" s="900"/>
      <c r="H323" s="293"/>
      <c r="I323" s="899"/>
      <c r="J323" s="768"/>
      <c r="K323" s="768"/>
      <c r="L323" s="900"/>
      <c r="M323" s="293"/>
      <c r="N323" s="899"/>
      <c r="O323" s="768"/>
      <c r="P323" s="768"/>
      <c r="Q323" s="900"/>
      <c r="R323" s="293"/>
      <c r="S323" s="899"/>
      <c r="T323" s="768"/>
      <c r="U323" s="768"/>
      <c r="V323" s="900"/>
      <c r="W323" s="293"/>
      <c r="X323" s="723"/>
      <c r="Y323" s="724"/>
      <c r="Z323" s="724"/>
      <c r="AA323" s="725"/>
      <c r="AB323" s="255"/>
      <c r="AC323" s="430"/>
    </row>
    <row r="324" spans="1:29" s="199" customFormat="1" ht="13.5" customHeight="1" x14ac:dyDescent="0.25">
      <c r="A324" s="483"/>
      <c r="B324" s="959"/>
      <c r="C324" s="278"/>
      <c r="D324" s="899"/>
      <c r="E324" s="768"/>
      <c r="F324" s="768"/>
      <c r="G324" s="900"/>
      <c r="H324" s="293"/>
      <c r="I324" s="899"/>
      <c r="J324" s="768"/>
      <c r="K324" s="768"/>
      <c r="L324" s="900"/>
      <c r="M324" s="293"/>
      <c r="N324" s="899"/>
      <c r="O324" s="768"/>
      <c r="P324" s="768"/>
      <c r="Q324" s="900"/>
      <c r="R324" s="293"/>
      <c r="S324" s="899"/>
      <c r="T324" s="768"/>
      <c r="U324" s="768"/>
      <c r="V324" s="900"/>
      <c r="W324" s="293"/>
      <c r="X324" s="723"/>
      <c r="Y324" s="724"/>
      <c r="Z324" s="724"/>
      <c r="AA324" s="725"/>
      <c r="AB324" s="255"/>
      <c r="AC324" s="430"/>
    </row>
    <row r="325" spans="1:29" s="199" customFormat="1" ht="13.5" customHeight="1" x14ac:dyDescent="0.25">
      <c r="A325" s="483"/>
      <c r="B325" s="959"/>
      <c r="C325" s="278"/>
      <c r="D325" s="901"/>
      <c r="E325" s="902"/>
      <c r="F325" s="902"/>
      <c r="G325" s="903"/>
      <c r="H325" s="293"/>
      <c r="I325" s="901"/>
      <c r="J325" s="902"/>
      <c r="K325" s="902"/>
      <c r="L325" s="903"/>
      <c r="M325" s="293"/>
      <c r="N325" s="901"/>
      <c r="O325" s="902"/>
      <c r="P325" s="902"/>
      <c r="Q325" s="903"/>
      <c r="R325" s="293"/>
      <c r="S325" s="901"/>
      <c r="T325" s="902"/>
      <c r="U325" s="902"/>
      <c r="V325" s="903"/>
      <c r="W325" s="293"/>
      <c r="X325" s="773"/>
      <c r="Y325" s="774"/>
      <c r="Z325" s="774"/>
      <c r="AA325" s="775"/>
      <c r="AB325" s="255"/>
      <c r="AC325" s="430"/>
    </row>
    <row r="326" spans="1:29" s="199" customFormat="1" ht="13.5" customHeight="1" x14ac:dyDescent="0.25">
      <c r="A326" s="483"/>
      <c r="B326" s="959"/>
      <c r="C326" s="278"/>
      <c r="D326" s="755" t="s">
        <v>472</v>
      </c>
      <c r="E326" s="756"/>
      <c r="F326" s="756"/>
      <c r="G326" s="757"/>
      <c r="H326" s="293"/>
      <c r="I326" s="755" t="s">
        <v>470</v>
      </c>
      <c r="J326" s="756"/>
      <c r="K326" s="756"/>
      <c r="L326" s="757"/>
      <c r="M326" s="293"/>
      <c r="N326" s="755" t="s">
        <v>471</v>
      </c>
      <c r="O326" s="756"/>
      <c r="P326" s="756"/>
      <c r="Q326" s="757"/>
      <c r="R326" s="293"/>
      <c r="S326" s="755" t="s">
        <v>469</v>
      </c>
      <c r="T326" s="756"/>
      <c r="U326" s="756"/>
      <c r="V326" s="757"/>
      <c r="W326" s="293"/>
      <c r="X326" s="758" t="s">
        <v>184</v>
      </c>
      <c r="Y326" s="759"/>
      <c r="Z326" s="759"/>
      <c r="AA326" s="760"/>
      <c r="AB326" s="255"/>
      <c r="AC326" s="430"/>
    </row>
    <row r="327" spans="1:29" s="199" customFormat="1" ht="27" customHeight="1" x14ac:dyDescent="0.25">
      <c r="A327" s="483"/>
      <c r="B327" s="959"/>
      <c r="C327" s="278"/>
      <c r="D327" s="737" t="s">
        <v>912</v>
      </c>
      <c r="E327" s="738"/>
      <c r="F327" s="738"/>
      <c r="G327" s="767"/>
      <c r="H327" s="308"/>
      <c r="I327" s="737" t="s">
        <v>913</v>
      </c>
      <c r="J327" s="738"/>
      <c r="K327" s="738"/>
      <c r="L327" s="767"/>
      <c r="M327" s="308"/>
      <c r="N327" s="737" t="s">
        <v>914</v>
      </c>
      <c r="O327" s="738"/>
      <c r="P327" s="738"/>
      <c r="Q327" s="767"/>
      <c r="R327" s="293"/>
      <c r="S327" s="737" t="s">
        <v>678</v>
      </c>
      <c r="T327" s="738"/>
      <c r="U327" s="738"/>
      <c r="V327" s="767"/>
      <c r="W327" s="293"/>
      <c r="X327" s="737" t="s">
        <v>677</v>
      </c>
      <c r="Y327" s="738"/>
      <c r="Z327" s="738"/>
      <c r="AA327" s="767"/>
      <c r="AB327" s="255"/>
      <c r="AC327" s="430"/>
    </row>
    <row r="328" spans="1:29" s="199" customFormat="1" ht="16.2" customHeight="1" x14ac:dyDescent="0.25">
      <c r="A328" s="483"/>
      <c r="B328" s="959"/>
      <c r="C328" s="278"/>
      <c r="D328" s="741">
        <v>19</v>
      </c>
      <c r="E328" s="742"/>
      <c r="F328" s="751">
        <v>0</v>
      </c>
      <c r="G328" s="752"/>
      <c r="H328" s="346"/>
      <c r="I328" s="741">
        <v>22</v>
      </c>
      <c r="J328" s="742"/>
      <c r="K328" s="751">
        <v>0</v>
      </c>
      <c r="L328" s="752"/>
      <c r="M328" s="293"/>
      <c r="N328" s="741">
        <v>24</v>
      </c>
      <c r="O328" s="742"/>
      <c r="P328" s="751">
        <v>0</v>
      </c>
      <c r="Q328" s="752"/>
      <c r="R328" s="293"/>
      <c r="S328" s="741">
        <v>0.6</v>
      </c>
      <c r="T328" s="742"/>
      <c r="U328" s="751">
        <v>0</v>
      </c>
      <c r="V328" s="752"/>
      <c r="W328" s="293"/>
      <c r="X328" s="731">
        <v>7.5</v>
      </c>
      <c r="Y328" s="732"/>
      <c r="Z328" s="776">
        <v>0</v>
      </c>
      <c r="AA328" s="777"/>
      <c r="AB328" s="255"/>
      <c r="AC328" s="430"/>
    </row>
    <row r="329" spans="1:29" s="595" customFormat="1" ht="15.9" customHeight="1" x14ac:dyDescent="0.25">
      <c r="A329" s="589"/>
      <c r="B329" s="959"/>
      <c r="C329" s="278"/>
      <c r="D329" s="635">
        <f>D328*G329</f>
        <v>190</v>
      </c>
      <c r="E329" s="578"/>
      <c r="F329" s="590" t="s">
        <v>295</v>
      </c>
      <c r="G329" s="591">
        <v>10</v>
      </c>
      <c r="H329" s="577"/>
      <c r="I329" s="635">
        <f>I328*L329</f>
        <v>220</v>
      </c>
      <c r="J329" s="578"/>
      <c r="K329" s="590" t="s">
        <v>295</v>
      </c>
      <c r="L329" s="591">
        <v>10</v>
      </c>
      <c r="M329" s="577"/>
      <c r="N329" s="635">
        <f>N328*Q329</f>
        <v>240</v>
      </c>
      <c r="O329" s="578"/>
      <c r="P329" s="590" t="s">
        <v>295</v>
      </c>
      <c r="Q329" s="591">
        <v>10</v>
      </c>
      <c r="R329" s="577"/>
      <c r="S329" s="635">
        <f>S328*V329</f>
        <v>240</v>
      </c>
      <c r="T329" s="578"/>
      <c r="U329" s="590" t="s">
        <v>295</v>
      </c>
      <c r="V329" s="591">
        <v>400</v>
      </c>
      <c r="W329" s="592"/>
      <c r="X329" s="635">
        <f>X328*AA329</f>
        <v>262.5</v>
      </c>
      <c r="Y329" s="596"/>
      <c r="Z329" s="597" t="s">
        <v>295</v>
      </c>
      <c r="AA329" s="598">
        <v>35</v>
      </c>
      <c r="AB329" s="593"/>
      <c r="AC329" s="594"/>
    </row>
    <row r="330" spans="1:29" s="199" customFormat="1" ht="10.199999999999999" customHeight="1" x14ac:dyDescent="0.25">
      <c r="A330" s="483"/>
      <c r="B330" s="255"/>
      <c r="C330" s="255"/>
      <c r="D330" s="675"/>
      <c r="E330" s="675"/>
      <c r="F330" s="325"/>
      <c r="G330" s="321"/>
      <c r="H330" s="293"/>
      <c r="I330" s="675"/>
      <c r="J330" s="675"/>
      <c r="K330" s="325"/>
      <c r="L330" s="321"/>
      <c r="M330" s="293"/>
      <c r="N330" s="675"/>
      <c r="O330" s="675"/>
      <c r="P330" s="325"/>
      <c r="Q330" s="321"/>
      <c r="R330" s="293"/>
      <c r="S330" s="675"/>
      <c r="T330" s="675"/>
      <c r="U330" s="325"/>
      <c r="V330" s="321"/>
      <c r="W330" s="293"/>
      <c r="X330" s="675"/>
      <c r="Y330" s="675"/>
      <c r="Z330" s="325"/>
      <c r="AA330" s="321"/>
      <c r="AB330" s="255"/>
      <c r="AC330" s="430"/>
    </row>
    <row r="331" spans="1:29" ht="13.95" customHeight="1" x14ac:dyDescent="0.25">
      <c r="A331" s="476"/>
      <c r="B331" s="254"/>
      <c r="C331" s="254"/>
      <c r="D331" s="743"/>
      <c r="E331" s="744"/>
      <c r="F331" s="744"/>
      <c r="G331" s="745"/>
      <c r="H331" s="293"/>
      <c r="I331" s="793"/>
      <c r="J331" s="794"/>
      <c r="K331" s="794"/>
      <c r="L331" s="795"/>
      <c r="M331" s="293"/>
      <c r="N331" s="743"/>
      <c r="O331" s="744"/>
      <c r="P331" s="744"/>
      <c r="Q331" s="745"/>
      <c r="R331" s="293"/>
      <c r="S331" s="743"/>
      <c r="T331" s="744"/>
      <c r="U331" s="744"/>
      <c r="V331" s="745"/>
      <c r="W331" s="293"/>
      <c r="X331" s="359"/>
      <c r="Y331" s="359"/>
      <c r="Z331" s="359"/>
      <c r="AA331" s="359"/>
      <c r="AB331" s="254"/>
      <c r="AC331" s="189"/>
    </row>
    <row r="332" spans="1:29" ht="13.95" customHeight="1" x14ac:dyDescent="0.25">
      <c r="A332" s="476"/>
      <c r="B332" s="254"/>
      <c r="C332" s="254"/>
      <c r="D332" s="705"/>
      <c r="E332" s="706"/>
      <c r="F332" s="706"/>
      <c r="G332" s="707"/>
      <c r="H332" s="293"/>
      <c r="I332" s="796"/>
      <c r="J332" s="797"/>
      <c r="K332" s="797"/>
      <c r="L332" s="798"/>
      <c r="M332" s="293"/>
      <c r="N332" s="705"/>
      <c r="O332" s="706"/>
      <c r="P332" s="706"/>
      <c r="Q332" s="707"/>
      <c r="R332" s="293"/>
      <c r="S332" s="705"/>
      <c r="T332" s="706"/>
      <c r="U332" s="706"/>
      <c r="V332" s="707"/>
      <c r="W332" s="293"/>
      <c r="X332" s="359"/>
      <c r="Y332" s="359"/>
      <c r="Z332" s="359"/>
      <c r="AA332" s="359"/>
      <c r="AB332" s="254"/>
      <c r="AC332" s="189"/>
    </row>
    <row r="333" spans="1:29" ht="13.95" customHeight="1" x14ac:dyDescent="0.25">
      <c r="A333" s="476"/>
      <c r="B333" s="254"/>
      <c r="C333" s="254"/>
      <c r="D333" s="705"/>
      <c r="E333" s="706"/>
      <c r="F333" s="706"/>
      <c r="G333" s="707"/>
      <c r="H333" s="293"/>
      <c r="I333" s="796"/>
      <c r="J333" s="797"/>
      <c r="K333" s="797"/>
      <c r="L333" s="798"/>
      <c r="M333" s="293"/>
      <c r="N333" s="672"/>
      <c r="O333" s="673"/>
      <c r="P333" s="673"/>
      <c r="Q333" s="674"/>
      <c r="R333" s="293"/>
      <c r="S333" s="672"/>
      <c r="T333" s="673"/>
      <c r="U333" s="673"/>
      <c r="V333" s="674"/>
      <c r="W333" s="293"/>
      <c r="X333" s="359"/>
      <c r="Y333" s="359"/>
      <c r="Z333" s="359"/>
      <c r="AA333" s="359"/>
      <c r="AB333" s="254"/>
      <c r="AC333" s="189"/>
    </row>
    <row r="334" spans="1:29" ht="13.95" customHeight="1" x14ac:dyDescent="0.25">
      <c r="A334" s="476"/>
      <c r="B334" s="254"/>
      <c r="C334" s="254"/>
      <c r="D334" s="705"/>
      <c r="E334" s="706"/>
      <c r="F334" s="706"/>
      <c r="G334" s="707"/>
      <c r="H334" s="293"/>
      <c r="I334" s="796"/>
      <c r="J334" s="797"/>
      <c r="K334" s="797"/>
      <c r="L334" s="798"/>
      <c r="M334" s="293"/>
      <c r="N334" s="705"/>
      <c r="O334" s="706"/>
      <c r="P334" s="706"/>
      <c r="Q334" s="707"/>
      <c r="R334" s="293"/>
      <c r="S334" s="705"/>
      <c r="T334" s="706"/>
      <c r="U334" s="706"/>
      <c r="V334" s="707"/>
      <c r="W334" s="293"/>
      <c r="X334" s="359"/>
      <c r="Y334" s="359"/>
      <c r="Z334" s="359"/>
      <c r="AA334" s="359"/>
      <c r="AB334" s="254"/>
      <c r="AC334" s="189"/>
    </row>
    <row r="335" spans="1:29" ht="13.95" customHeight="1" x14ac:dyDescent="0.25">
      <c r="A335" s="476"/>
      <c r="B335" s="254"/>
      <c r="C335" s="254"/>
      <c r="D335" s="705"/>
      <c r="E335" s="706"/>
      <c r="F335" s="706"/>
      <c r="G335" s="707"/>
      <c r="H335" s="293"/>
      <c r="I335" s="796"/>
      <c r="J335" s="797"/>
      <c r="K335" s="797"/>
      <c r="L335" s="798"/>
      <c r="M335" s="293"/>
      <c r="N335" s="705"/>
      <c r="O335" s="706"/>
      <c r="P335" s="706"/>
      <c r="Q335" s="707"/>
      <c r="R335" s="293"/>
      <c r="S335" s="705"/>
      <c r="T335" s="706"/>
      <c r="U335" s="706"/>
      <c r="V335" s="707"/>
      <c r="W335" s="293"/>
      <c r="X335" s="359"/>
      <c r="Y335" s="359"/>
      <c r="Z335" s="359"/>
      <c r="AA335" s="359"/>
      <c r="AB335" s="254"/>
      <c r="AC335" s="189"/>
    </row>
    <row r="336" spans="1:29" ht="13.95" customHeight="1" x14ac:dyDescent="0.25">
      <c r="A336" s="476"/>
      <c r="B336" s="254"/>
      <c r="C336" s="254"/>
      <c r="D336" s="708"/>
      <c r="E336" s="709"/>
      <c r="F336" s="709"/>
      <c r="G336" s="710"/>
      <c r="H336" s="293"/>
      <c r="I336" s="799"/>
      <c r="J336" s="800"/>
      <c r="K336" s="800"/>
      <c r="L336" s="801"/>
      <c r="M336" s="293"/>
      <c r="N336" s="708"/>
      <c r="O336" s="709"/>
      <c r="P336" s="709"/>
      <c r="Q336" s="710"/>
      <c r="R336" s="293"/>
      <c r="S336" s="708"/>
      <c r="T336" s="709"/>
      <c r="U336" s="709"/>
      <c r="V336" s="710"/>
      <c r="W336" s="293"/>
      <c r="X336" s="359"/>
      <c r="Y336" s="359"/>
      <c r="Z336" s="359"/>
      <c r="AA336" s="359"/>
      <c r="AB336" s="254"/>
      <c r="AC336" s="189"/>
    </row>
    <row r="337" spans="1:29" ht="13.95" customHeight="1" x14ac:dyDescent="0.25">
      <c r="A337" s="476"/>
      <c r="B337" s="254"/>
      <c r="C337" s="254"/>
      <c r="D337" s="790" t="s">
        <v>535</v>
      </c>
      <c r="E337" s="791"/>
      <c r="F337" s="791"/>
      <c r="G337" s="792"/>
      <c r="H337" s="293"/>
      <c r="I337" s="790" t="s">
        <v>536</v>
      </c>
      <c r="J337" s="791"/>
      <c r="K337" s="791"/>
      <c r="L337" s="792"/>
      <c r="M337" s="293"/>
      <c r="N337" s="790" t="s">
        <v>537</v>
      </c>
      <c r="O337" s="791"/>
      <c r="P337" s="791"/>
      <c r="Q337" s="792"/>
      <c r="R337" s="293"/>
      <c r="S337" s="790" t="s">
        <v>538</v>
      </c>
      <c r="T337" s="791"/>
      <c r="U337" s="791"/>
      <c r="V337" s="792"/>
      <c r="W337" s="293"/>
      <c r="X337" s="359"/>
      <c r="Y337" s="359"/>
      <c r="Z337" s="359"/>
      <c r="AA337" s="359"/>
      <c r="AB337" s="254"/>
      <c r="AC337" s="189"/>
    </row>
    <row r="338" spans="1:29" ht="27" customHeight="1" x14ac:dyDescent="0.25">
      <c r="A338" s="476"/>
      <c r="B338" s="254"/>
      <c r="C338" s="254"/>
      <c r="D338" s="737" t="s">
        <v>539</v>
      </c>
      <c r="E338" s="738"/>
      <c r="F338" s="739"/>
      <c r="G338" s="740"/>
      <c r="H338" s="308"/>
      <c r="I338" s="737" t="s">
        <v>540</v>
      </c>
      <c r="J338" s="738"/>
      <c r="K338" s="739"/>
      <c r="L338" s="740"/>
      <c r="M338" s="308"/>
      <c r="N338" s="737" t="s">
        <v>541</v>
      </c>
      <c r="O338" s="738"/>
      <c r="P338" s="739"/>
      <c r="Q338" s="740"/>
      <c r="R338" s="308"/>
      <c r="S338" s="737" t="s">
        <v>542</v>
      </c>
      <c r="T338" s="738"/>
      <c r="U338" s="739"/>
      <c r="V338" s="740"/>
      <c r="W338" s="308"/>
      <c r="X338" s="359"/>
      <c r="Y338" s="359"/>
      <c r="Z338" s="359"/>
      <c r="AA338" s="359"/>
      <c r="AB338" s="254"/>
      <c r="AC338" s="189"/>
    </row>
    <row r="339" spans="1:29" ht="16.2" customHeight="1" x14ac:dyDescent="0.25">
      <c r="A339" s="476"/>
      <c r="B339" s="254"/>
      <c r="C339" s="254"/>
      <c r="D339" s="735">
        <v>36</v>
      </c>
      <c r="E339" s="736"/>
      <c r="F339" s="788">
        <v>0</v>
      </c>
      <c r="G339" s="789"/>
      <c r="H339" s="293"/>
      <c r="I339" s="735">
        <v>96</v>
      </c>
      <c r="J339" s="736"/>
      <c r="K339" s="788">
        <v>0</v>
      </c>
      <c r="L339" s="789"/>
      <c r="M339" s="293"/>
      <c r="N339" s="735">
        <v>34</v>
      </c>
      <c r="O339" s="736"/>
      <c r="P339" s="788">
        <v>0</v>
      </c>
      <c r="Q339" s="789"/>
      <c r="R339" s="293"/>
      <c r="S339" s="735">
        <v>130</v>
      </c>
      <c r="T339" s="736"/>
      <c r="U339" s="788">
        <v>0</v>
      </c>
      <c r="V339" s="789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 x14ac:dyDescent="0.3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6"/>
      <c r="Y340" s="676"/>
      <c r="Z340" s="676"/>
      <c r="AA340" s="676"/>
      <c r="AB340" s="255"/>
      <c r="AC340" s="430"/>
    </row>
    <row r="341" spans="1:29" s="202" customFormat="1" ht="27" customHeight="1" thickTop="1" x14ac:dyDescent="0.35">
      <c r="A341" s="489"/>
      <c r="B341" s="412"/>
      <c r="C341" s="412"/>
      <c r="D341" s="848" t="s">
        <v>111</v>
      </c>
      <c r="E341" s="848"/>
      <c r="F341" s="848"/>
      <c r="G341" s="848"/>
      <c r="H341" s="848"/>
      <c r="I341" s="848"/>
      <c r="J341" s="848"/>
      <c r="K341" s="848"/>
      <c r="L341" s="848"/>
      <c r="M341" s="848"/>
      <c r="N341" s="848"/>
      <c r="O341" s="848"/>
      <c r="P341" s="848"/>
      <c r="Q341" s="848"/>
      <c r="R341" s="848"/>
      <c r="S341" s="848"/>
      <c r="T341" s="848"/>
      <c r="U341" s="848"/>
      <c r="V341" s="848"/>
      <c r="W341" s="848"/>
      <c r="X341" s="848"/>
      <c r="Y341" s="848"/>
      <c r="Z341" s="848"/>
      <c r="AA341" s="848"/>
      <c r="AB341" s="412"/>
      <c r="AC341" s="436"/>
    </row>
    <row r="342" spans="1:29" s="202" customFormat="1" ht="19.95" customHeight="1" x14ac:dyDescent="0.4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3.8" x14ac:dyDescent="0.25">
      <c r="A343" s="476"/>
      <c r="B343" s="254"/>
      <c r="C343" s="254"/>
      <c r="D343" s="720"/>
      <c r="E343" s="721"/>
      <c r="F343" s="721"/>
      <c r="G343" s="722"/>
      <c r="H343" s="293"/>
      <c r="I343" s="720"/>
      <c r="J343" s="721"/>
      <c r="K343" s="721"/>
      <c r="L343" s="722"/>
      <c r="M343" s="293"/>
      <c r="N343" s="743"/>
      <c r="O343" s="744"/>
      <c r="P343" s="744"/>
      <c r="Q343" s="745"/>
      <c r="R343" s="293"/>
      <c r="S343" s="743"/>
      <c r="T343" s="744"/>
      <c r="U343" s="744"/>
      <c r="V343" s="745"/>
      <c r="W343" s="290"/>
      <c r="X343" s="743"/>
      <c r="Y343" s="744"/>
      <c r="Z343" s="744"/>
      <c r="AA343" s="745"/>
      <c r="AB343" s="254"/>
    </row>
    <row r="344" spans="1:29" ht="13.8" x14ac:dyDescent="0.25">
      <c r="A344" s="476"/>
      <c r="B344" s="254"/>
      <c r="C344" s="254"/>
      <c r="D344" s="705"/>
      <c r="E344" s="706"/>
      <c r="F344" s="706"/>
      <c r="G344" s="707"/>
      <c r="H344" s="293"/>
      <c r="I344" s="705"/>
      <c r="J344" s="706"/>
      <c r="K344" s="706"/>
      <c r="L344" s="707"/>
      <c r="M344" s="293"/>
      <c r="N344" s="705"/>
      <c r="O344" s="706"/>
      <c r="P344" s="706"/>
      <c r="Q344" s="707"/>
      <c r="R344" s="293"/>
      <c r="S344" s="705"/>
      <c r="T344" s="706"/>
      <c r="U344" s="706"/>
      <c r="V344" s="707"/>
      <c r="W344" s="290"/>
      <c r="X344" s="705"/>
      <c r="Y344" s="706"/>
      <c r="Z344" s="706"/>
      <c r="AA344" s="707"/>
      <c r="AB344" s="254"/>
    </row>
    <row r="345" spans="1:29" ht="13.8" x14ac:dyDescent="0.25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60"/>
      <c r="T345" s="661"/>
      <c r="U345" s="661"/>
      <c r="V345" s="662"/>
      <c r="W345" s="290"/>
      <c r="X345" s="660"/>
      <c r="Y345" s="661"/>
      <c r="Z345" s="661"/>
      <c r="AA345" s="662"/>
      <c r="AB345" s="254"/>
    </row>
    <row r="346" spans="1:29" ht="13.8" x14ac:dyDescent="0.25">
      <c r="A346" s="476"/>
      <c r="B346" s="254"/>
      <c r="C346" s="254"/>
      <c r="D346" s="705"/>
      <c r="E346" s="706"/>
      <c r="F346" s="706"/>
      <c r="G346" s="707"/>
      <c r="H346" s="293"/>
      <c r="I346" s="705"/>
      <c r="J346" s="706"/>
      <c r="K346" s="706"/>
      <c r="L346" s="707"/>
      <c r="M346" s="293"/>
      <c r="N346" s="705"/>
      <c r="O346" s="706"/>
      <c r="P346" s="706"/>
      <c r="Q346" s="707"/>
      <c r="R346" s="293"/>
      <c r="S346" s="705"/>
      <c r="T346" s="706"/>
      <c r="U346" s="706"/>
      <c r="V346" s="707"/>
      <c r="W346" s="290"/>
      <c r="X346" s="705"/>
      <c r="Y346" s="706"/>
      <c r="Z346" s="706"/>
      <c r="AA346" s="707"/>
      <c r="AB346" s="254"/>
    </row>
    <row r="347" spans="1:29" ht="13.8" x14ac:dyDescent="0.25">
      <c r="A347" s="476"/>
      <c r="B347" s="254"/>
      <c r="C347" s="254"/>
      <c r="D347" s="705"/>
      <c r="E347" s="706"/>
      <c r="F347" s="706"/>
      <c r="G347" s="707"/>
      <c r="H347" s="293"/>
      <c r="I347" s="705"/>
      <c r="J347" s="706"/>
      <c r="K347" s="706"/>
      <c r="L347" s="707"/>
      <c r="M347" s="293"/>
      <c r="N347" s="705"/>
      <c r="O347" s="706"/>
      <c r="P347" s="706"/>
      <c r="Q347" s="707"/>
      <c r="R347" s="293"/>
      <c r="S347" s="705"/>
      <c r="T347" s="706"/>
      <c r="U347" s="706"/>
      <c r="V347" s="707"/>
      <c r="W347" s="290"/>
      <c r="X347" s="705"/>
      <c r="Y347" s="706"/>
      <c r="Z347" s="706"/>
      <c r="AA347" s="707"/>
      <c r="AB347" s="254"/>
    </row>
    <row r="348" spans="1:29" s="200" customFormat="1" ht="14.4" x14ac:dyDescent="0.3">
      <c r="A348" s="485"/>
      <c r="B348" s="254"/>
      <c r="C348" s="254"/>
      <c r="D348" s="708"/>
      <c r="E348" s="709"/>
      <c r="F348" s="709"/>
      <c r="G348" s="710"/>
      <c r="H348" s="293"/>
      <c r="I348" s="708"/>
      <c r="J348" s="709"/>
      <c r="K348" s="709"/>
      <c r="L348" s="710"/>
      <c r="M348" s="293"/>
      <c r="N348" s="708"/>
      <c r="O348" s="709"/>
      <c r="P348" s="709"/>
      <c r="Q348" s="710"/>
      <c r="R348" s="293"/>
      <c r="S348" s="708"/>
      <c r="T348" s="709"/>
      <c r="U348" s="709"/>
      <c r="V348" s="710"/>
      <c r="W348" s="290"/>
      <c r="X348" s="708"/>
      <c r="Y348" s="709"/>
      <c r="Z348" s="709"/>
      <c r="AA348" s="710"/>
      <c r="AB348" s="254"/>
      <c r="AC348" s="432"/>
    </row>
    <row r="349" spans="1:29" ht="13.8" x14ac:dyDescent="0.25">
      <c r="A349" s="476"/>
      <c r="B349" s="254"/>
      <c r="C349" s="254"/>
      <c r="D349" s="790" t="s">
        <v>193</v>
      </c>
      <c r="E349" s="791"/>
      <c r="F349" s="791"/>
      <c r="G349" s="792"/>
      <c r="H349" s="293"/>
      <c r="I349" s="790" t="s">
        <v>194</v>
      </c>
      <c r="J349" s="791"/>
      <c r="K349" s="791"/>
      <c r="L349" s="792"/>
      <c r="M349" s="293"/>
      <c r="N349" s="790" t="s">
        <v>578</v>
      </c>
      <c r="O349" s="791"/>
      <c r="P349" s="791"/>
      <c r="Q349" s="792"/>
      <c r="R349" s="293"/>
      <c r="S349" s="790" t="s">
        <v>581</v>
      </c>
      <c r="T349" s="791"/>
      <c r="U349" s="791"/>
      <c r="V349" s="792"/>
      <c r="W349" s="290"/>
      <c r="X349" s="790" t="s">
        <v>195</v>
      </c>
      <c r="Y349" s="791"/>
      <c r="Z349" s="791"/>
      <c r="AA349" s="792"/>
      <c r="AB349" s="254"/>
    </row>
    <row r="350" spans="1:29" s="193" customFormat="1" ht="27" customHeight="1" x14ac:dyDescent="0.3">
      <c r="A350" s="479"/>
      <c r="B350" s="259"/>
      <c r="C350" s="259"/>
      <c r="D350" s="737" t="s">
        <v>411</v>
      </c>
      <c r="E350" s="738"/>
      <c r="F350" s="739"/>
      <c r="G350" s="740"/>
      <c r="H350" s="308"/>
      <c r="I350" s="737" t="s">
        <v>525</v>
      </c>
      <c r="J350" s="738"/>
      <c r="K350" s="739"/>
      <c r="L350" s="740"/>
      <c r="M350" s="308"/>
      <c r="N350" s="737" t="s">
        <v>579</v>
      </c>
      <c r="O350" s="738"/>
      <c r="P350" s="739"/>
      <c r="Q350" s="740"/>
      <c r="R350" s="308"/>
      <c r="S350" s="737" t="s">
        <v>580</v>
      </c>
      <c r="T350" s="738"/>
      <c r="U350" s="739"/>
      <c r="V350" s="740"/>
      <c r="W350" s="308"/>
      <c r="X350" s="737" t="s">
        <v>679</v>
      </c>
      <c r="Y350" s="738"/>
      <c r="Z350" s="739"/>
      <c r="AA350" s="740"/>
      <c r="AB350" s="259"/>
      <c r="AC350" s="405"/>
    </row>
    <row r="351" spans="1:29" ht="16.2" customHeight="1" x14ac:dyDescent="0.25">
      <c r="A351" s="476"/>
      <c r="B351" s="254"/>
      <c r="C351" s="254"/>
      <c r="D351" s="870">
        <v>210</v>
      </c>
      <c r="E351" s="785"/>
      <c r="F351" s="788">
        <v>0</v>
      </c>
      <c r="G351" s="789"/>
      <c r="H351" s="293"/>
      <c r="I351" s="786">
        <v>110</v>
      </c>
      <c r="J351" s="787"/>
      <c r="K351" s="788">
        <v>0</v>
      </c>
      <c r="L351" s="789"/>
      <c r="M351" s="293"/>
      <c r="N351" s="786">
        <v>170</v>
      </c>
      <c r="O351" s="787"/>
      <c r="P351" s="788">
        <v>0</v>
      </c>
      <c r="Q351" s="789"/>
      <c r="R351" s="293"/>
      <c r="S351" s="786">
        <v>85</v>
      </c>
      <c r="T351" s="787"/>
      <c r="U351" s="788">
        <v>0</v>
      </c>
      <c r="V351" s="789"/>
      <c r="W351" s="290"/>
      <c r="X351" s="786">
        <v>85</v>
      </c>
      <c r="Y351" s="787"/>
      <c r="Z351" s="788">
        <v>0</v>
      </c>
      <c r="AA351" s="789"/>
      <c r="AB351" s="254"/>
    </row>
    <row r="352" spans="1:29" s="199" customFormat="1" ht="10.199999999999999" customHeight="1" x14ac:dyDescent="0.25">
      <c r="A352" s="483"/>
      <c r="B352" s="255"/>
      <c r="C352" s="255"/>
      <c r="D352" s="675"/>
      <c r="E352" s="675"/>
      <c r="F352" s="325"/>
      <c r="G352" s="321"/>
      <c r="H352" s="293"/>
      <c r="I352" s="675"/>
      <c r="J352" s="675"/>
      <c r="K352" s="325"/>
      <c r="L352" s="321"/>
      <c r="M352" s="293"/>
      <c r="N352" s="675"/>
      <c r="O352" s="675"/>
      <c r="P352" s="325"/>
      <c r="Q352" s="321"/>
      <c r="R352" s="293"/>
      <c r="S352" s="675"/>
      <c r="T352" s="675"/>
      <c r="U352" s="325"/>
      <c r="V352" s="321"/>
      <c r="W352" s="293"/>
      <c r="X352" s="675"/>
      <c r="Y352" s="675"/>
      <c r="Z352" s="325"/>
      <c r="AA352" s="321"/>
      <c r="AB352" s="255"/>
      <c r="AC352" s="430"/>
    </row>
    <row r="353" spans="1:29" ht="13.8" x14ac:dyDescent="0.25">
      <c r="A353" s="476"/>
      <c r="B353" s="254"/>
      <c r="C353" s="254"/>
      <c r="D353" s="720"/>
      <c r="E353" s="721"/>
      <c r="F353" s="721"/>
      <c r="G353" s="722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3.8" x14ac:dyDescent="0.25">
      <c r="A354" s="476"/>
      <c r="B354" s="254"/>
      <c r="C354" s="254"/>
      <c r="D354" s="705"/>
      <c r="E354" s="706"/>
      <c r="F354" s="706"/>
      <c r="G354" s="707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3.8" x14ac:dyDescent="0.25">
      <c r="A355" s="476"/>
      <c r="B355" s="254"/>
      <c r="C355" s="254"/>
      <c r="D355" s="672"/>
      <c r="E355" s="673"/>
      <c r="F355" s="673"/>
      <c r="G355" s="674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3.8" x14ac:dyDescent="0.25">
      <c r="A356" s="476"/>
      <c r="B356" s="254"/>
      <c r="C356" s="254"/>
      <c r="D356" s="705"/>
      <c r="E356" s="706"/>
      <c r="F356" s="706"/>
      <c r="G356" s="707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3.8" x14ac:dyDescent="0.25">
      <c r="A357" s="476"/>
      <c r="B357" s="254"/>
      <c r="C357" s="254"/>
      <c r="D357" s="705"/>
      <c r="E357" s="706"/>
      <c r="F357" s="706"/>
      <c r="G357" s="707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4.4" x14ac:dyDescent="0.3">
      <c r="A358" s="485"/>
      <c r="B358" s="254"/>
      <c r="C358" s="254"/>
      <c r="D358" s="708"/>
      <c r="E358" s="709"/>
      <c r="F358" s="709"/>
      <c r="G358" s="710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3.8" x14ac:dyDescent="0.25">
      <c r="A359" s="476"/>
      <c r="B359" s="254"/>
      <c r="C359" s="254"/>
      <c r="D359" s="790" t="s">
        <v>609</v>
      </c>
      <c r="E359" s="791"/>
      <c r="F359" s="791"/>
      <c r="G359" s="792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 x14ac:dyDescent="0.3">
      <c r="A360" s="479"/>
      <c r="B360" s="259"/>
      <c r="C360" s="259"/>
      <c r="D360" s="737" t="s">
        <v>861</v>
      </c>
      <c r="E360" s="738"/>
      <c r="F360" s="739"/>
      <c r="G360" s="740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2" customHeight="1" x14ac:dyDescent="0.25">
      <c r="A361" s="476"/>
      <c r="B361" s="254"/>
      <c r="C361" s="254"/>
      <c r="D361" s="870">
        <v>150</v>
      </c>
      <c r="E361" s="785"/>
      <c r="F361" s="788">
        <v>0</v>
      </c>
      <c r="G361" s="789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 x14ac:dyDescent="0.3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 x14ac:dyDescent="0.25">
      <c r="A363" s="490"/>
      <c r="B363" s="269"/>
      <c r="C363" s="269"/>
      <c r="D363" s="848" t="s">
        <v>109</v>
      </c>
      <c r="E363" s="848"/>
      <c r="F363" s="848"/>
      <c r="G363" s="848"/>
      <c r="H363" s="848"/>
      <c r="I363" s="848"/>
      <c r="J363" s="848"/>
      <c r="K363" s="848"/>
      <c r="L363" s="848"/>
      <c r="M363" s="848"/>
      <c r="N363" s="848"/>
      <c r="O363" s="848"/>
      <c r="P363" s="848"/>
      <c r="Q363" s="848"/>
      <c r="R363" s="848"/>
      <c r="S363" s="848"/>
      <c r="T363" s="848"/>
      <c r="U363" s="848"/>
      <c r="V363" s="848"/>
      <c r="W363" s="848"/>
      <c r="X363" s="848"/>
      <c r="Y363" s="848"/>
      <c r="Z363" s="848"/>
      <c r="AA363" s="848"/>
      <c r="AB363" s="269"/>
      <c r="AC363" s="437"/>
    </row>
    <row r="364" spans="1:29" s="202" customFormat="1" ht="20.7" customHeight="1" x14ac:dyDescent="0.4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3.8" x14ac:dyDescent="0.25">
      <c r="A365" s="476"/>
      <c r="B365" s="847" t="s">
        <v>240</v>
      </c>
      <c r="C365" s="265"/>
      <c r="D365" s="743"/>
      <c r="E365" s="744"/>
      <c r="F365" s="744"/>
      <c r="G365" s="745"/>
      <c r="H365" s="293"/>
      <c r="I365" s="743"/>
      <c r="J365" s="744"/>
      <c r="K365" s="744"/>
      <c r="L365" s="745"/>
      <c r="M365" s="293"/>
      <c r="N365" s="720"/>
      <c r="O365" s="721"/>
      <c r="P365" s="721"/>
      <c r="Q365" s="722"/>
      <c r="R365" s="293"/>
      <c r="S365" s="743"/>
      <c r="T365" s="744"/>
      <c r="U365" s="744"/>
      <c r="V365" s="745"/>
      <c r="W365" s="293"/>
      <c r="X365" s="718"/>
      <c r="Y365" s="718"/>
      <c r="Z365" s="718"/>
      <c r="AA365" s="718"/>
      <c r="AB365" s="254"/>
    </row>
    <row r="366" spans="1:29" ht="13.8" x14ac:dyDescent="0.25">
      <c r="A366" s="476"/>
      <c r="B366" s="847"/>
      <c r="C366" s="265"/>
      <c r="D366" s="705"/>
      <c r="E366" s="706"/>
      <c r="F366" s="706"/>
      <c r="G366" s="707"/>
      <c r="H366" s="293"/>
      <c r="I366" s="705"/>
      <c r="J366" s="706"/>
      <c r="K366" s="706"/>
      <c r="L366" s="707"/>
      <c r="M366" s="293"/>
      <c r="N366" s="723"/>
      <c r="O366" s="724"/>
      <c r="P366" s="724"/>
      <c r="Q366" s="725"/>
      <c r="R366" s="293"/>
      <c r="S366" s="705"/>
      <c r="T366" s="706"/>
      <c r="U366" s="706"/>
      <c r="V366" s="707"/>
      <c r="W366" s="293"/>
      <c r="X366" s="718"/>
      <c r="Y366" s="718"/>
      <c r="Z366" s="718"/>
      <c r="AA366" s="718"/>
      <c r="AB366" s="254"/>
    </row>
    <row r="367" spans="1:29" ht="13.8" x14ac:dyDescent="0.25">
      <c r="A367" s="476"/>
      <c r="B367" s="847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60"/>
      <c r="T367" s="661"/>
      <c r="U367" s="661"/>
      <c r="V367" s="662"/>
      <c r="W367" s="293"/>
      <c r="X367" s="322"/>
      <c r="Y367" s="322"/>
      <c r="Z367" s="322"/>
      <c r="AA367" s="322"/>
      <c r="AB367" s="254"/>
    </row>
    <row r="368" spans="1:29" ht="13.8" x14ac:dyDescent="0.25">
      <c r="A368" s="476"/>
      <c r="B368" s="847"/>
      <c r="C368" s="265"/>
      <c r="D368" s="705"/>
      <c r="E368" s="706"/>
      <c r="F368" s="706"/>
      <c r="G368" s="707"/>
      <c r="H368" s="293"/>
      <c r="I368" s="705"/>
      <c r="J368" s="706"/>
      <c r="K368" s="706"/>
      <c r="L368" s="707"/>
      <c r="M368" s="293"/>
      <c r="N368" s="723"/>
      <c r="O368" s="724"/>
      <c r="P368" s="724"/>
      <c r="Q368" s="725"/>
      <c r="R368" s="293"/>
      <c r="S368" s="705"/>
      <c r="T368" s="706"/>
      <c r="U368" s="706"/>
      <c r="V368" s="707"/>
      <c r="W368" s="293"/>
      <c r="X368" s="718"/>
      <c r="Y368" s="718"/>
      <c r="Z368" s="718"/>
      <c r="AA368" s="718"/>
      <c r="AB368" s="254"/>
    </row>
    <row r="369" spans="1:29" ht="13.8" x14ac:dyDescent="0.25">
      <c r="A369" s="476"/>
      <c r="B369" s="847"/>
      <c r="C369" s="265"/>
      <c r="D369" s="705"/>
      <c r="E369" s="706"/>
      <c r="F369" s="706"/>
      <c r="G369" s="707"/>
      <c r="H369" s="293"/>
      <c r="I369" s="705"/>
      <c r="J369" s="706"/>
      <c r="K369" s="706"/>
      <c r="L369" s="707"/>
      <c r="M369" s="293"/>
      <c r="N369" s="723"/>
      <c r="O369" s="724"/>
      <c r="P369" s="724"/>
      <c r="Q369" s="725"/>
      <c r="R369" s="293"/>
      <c r="S369" s="705"/>
      <c r="T369" s="706"/>
      <c r="U369" s="706"/>
      <c r="V369" s="707"/>
      <c r="W369" s="293"/>
      <c r="X369" s="718"/>
      <c r="Y369" s="718"/>
      <c r="Z369" s="718"/>
      <c r="AA369" s="718"/>
      <c r="AB369" s="254"/>
    </row>
    <row r="370" spans="1:29" ht="13.8" x14ac:dyDescent="0.25">
      <c r="A370" s="476"/>
      <c r="B370" s="847"/>
      <c r="C370" s="265"/>
      <c r="D370" s="705"/>
      <c r="E370" s="706"/>
      <c r="F370" s="706"/>
      <c r="G370" s="707"/>
      <c r="H370" s="293"/>
      <c r="I370" s="705"/>
      <c r="J370" s="706"/>
      <c r="K370" s="706"/>
      <c r="L370" s="707"/>
      <c r="M370" s="293"/>
      <c r="N370" s="723"/>
      <c r="O370" s="724"/>
      <c r="P370" s="724"/>
      <c r="Q370" s="725"/>
      <c r="R370" s="293"/>
      <c r="S370" s="705"/>
      <c r="T370" s="706"/>
      <c r="U370" s="706"/>
      <c r="V370" s="707"/>
      <c r="W370" s="293"/>
      <c r="X370" s="718"/>
      <c r="Y370" s="718"/>
      <c r="Z370" s="718"/>
      <c r="AA370" s="718"/>
      <c r="AB370" s="254"/>
    </row>
    <row r="371" spans="1:29" ht="13.8" x14ac:dyDescent="0.25">
      <c r="A371" s="476"/>
      <c r="B371" s="847"/>
      <c r="C371" s="265"/>
      <c r="D371" s="790" t="s">
        <v>231</v>
      </c>
      <c r="E371" s="791"/>
      <c r="F371" s="791"/>
      <c r="G371" s="792"/>
      <c r="H371" s="293"/>
      <c r="I371" s="790" t="s">
        <v>215</v>
      </c>
      <c r="J371" s="791"/>
      <c r="K371" s="791"/>
      <c r="L371" s="792"/>
      <c r="M371" s="293"/>
      <c r="N371" s="790" t="s">
        <v>233</v>
      </c>
      <c r="O371" s="791"/>
      <c r="P371" s="791"/>
      <c r="Q371" s="792"/>
      <c r="R371" s="293"/>
      <c r="S371" s="790" t="s">
        <v>624</v>
      </c>
      <c r="T371" s="791"/>
      <c r="U371" s="791"/>
      <c r="V371" s="792"/>
      <c r="W371" s="293"/>
      <c r="X371" s="778"/>
      <c r="Y371" s="778"/>
      <c r="Z371" s="778"/>
      <c r="AA371" s="778"/>
      <c r="AB371" s="254"/>
    </row>
    <row r="372" spans="1:29" s="204" customFormat="1" ht="27" customHeight="1" x14ac:dyDescent="0.25">
      <c r="A372" s="491"/>
      <c r="B372" s="847"/>
      <c r="C372" s="265"/>
      <c r="D372" s="737" t="s">
        <v>680</v>
      </c>
      <c r="E372" s="738"/>
      <c r="F372" s="739"/>
      <c r="G372" s="740"/>
      <c r="H372" s="308"/>
      <c r="I372" s="737" t="s">
        <v>681</v>
      </c>
      <c r="J372" s="738"/>
      <c r="K372" s="739"/>
      <c r="L372" s="740"/>
      <c r="M372" s="308"/>
      <c r="N372" s="737" t="s">
        <v>682</v>
      </c>
      <c r="O372" s="738"/>
      <c r="P372" s="739"/>
      <c r="Q372" s="740"/>
      <c r="R372" s="308"/>
      <c r="S372" s="737" t="s">
        <v>683</v>
      </c>
      <c r="T372" s="738"/>
      <c r="U372" s="739"/>
      <c r="V372" s="740"/>
      <c r="W372" s="308"/>
      <c r="X372" s="939"/>
      <c r="Y372" s="939"/>
      <c r="Z372" s="939"/>
      <c r="AA372" s="939"/>
      <c r="AB372" s="262"/>
      <c r="AC372" s="438"/>
    </row>
    <row r="373" spans="1:29" s="193" customFormat="1" ht="16.2" customHeight="1" x14ac:dyDescent="0.25">
      <c r="A373" s="479"/>
      <c r="B373" s="847"/>
      <c r="C373" s="265"/>
      <c r="D373" s="786">
        <v>0.08</v>
      </c>
      <c r="E373" s="787"/>
      <c r="F373" s="788">
        <v>250</v>
      </c>
      <c r="G373" s="789"/>
      <c r="H373" s="293"/>
      <c r="I373" s="786">
        <v>7.0000000000000007E-2</v>
      </c>
      <c r="J373" s="787"/>
      <c r="K373" s="788">
        <v>250</v>
      </c>
      <c r="L373" s="789"/>
      <c r="M373" s="293"/>
      <c r="N373" s="786">
        <v>0.09</v>
      </c>
      <c r="O373" s="787"/>
      <c r="P373" s="788">
        <v>0</v>
      </c>
      <c r="Q373" s="789"/>
      <c r="R373" s="293"/>
      <c r="S373" s="786">
        <v>0.11</v>
      </c>
      <c r="T373" s="787"/>
      <c r="U373" s="788">
        <v>0</v>
      </c>
      <c r="V373" s="789"/>
      <c r="W373" s="293"/>
      <c r="X373" s="915"/>
      <c r="Y373" s="915"/>
      <c r="Z373" s="862"/>
      <c r="AA373" s="862"/>
      <c r="AB373" s="254"/>
      <c r="AC373" s="405"/>
    </row>
    <row r="374" spans="1:29" s="500" customFormat="1" ht="16.2" customHeight="1" x14ac:dyDescent="0.25">
      <c r="A374" s="496"/>
      <c r="B374" s="847"/>
      <c r="C374" s="265"/>
      <c r="D374" s="635">
        <f>D373*G374</f>
        <v>16</v>
      </c>
      <c r="E374" s="578"/>
      <c r="F374" s="575" t="s">
        <v>295</v>
      </c>
      <c r="G374" s="579">
        <v>200</v>
      </c>
      <c r="H374" s="577"/>
      <c r="I374" s="635">
        <f>I373*L374</f>
        <v>14.000000000000002</v>
      </c>
      <c r="J374" s="578"/>
      <c r="K374" s="575" t="s">
        <v>295</v>
      </c>
      <c r="L374" s="579">
        <v>200</v>
      </c>
      <c r="M374" s="577"/>
      <c r="N374" s="635">
        <f>N373*Q374</f>
        <v>18</v>
      </c>
      <c r="O374" s="578"/>
      <c r="P374" s="575" t="s">
        <v>295</v>
      </c>
      <c r="Q374" s="579">
        <v>200</v>
      </c>
      <c r="R374" s="577"/>
      <c r="S374" s="635">
        <f>S373*V374</f>
        <v>22</v>
      </c>
      <c r="T374" s="578"/>
      <c r="U374" s="575" t="s">
        <v>295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3.8" x14ac:dyDescent="0.25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3.8" x14ac:dyDescent="0.25">
      <c r="A376" s="476"/>
      <c r="B376" s="847" t="s">
        <v>476</v>
      </c>
      <c r="C376" s="266"/>
      <c r="D376" s="743"/>
      <c r="E376" s="744"/>
      <c r="F376" s="744"/>
      <c r="G376" s="745"/>
      <c r="H376" s="293"/>
      <c r="I376" s="743"/>
      <c r="J376" s="744"/>
      <c r="K376" s="744"/>
      <c r="L376" s="745"/>
      <c r="M376" s="293"/>
      <c r="N376" s="720"/>
      <c r="O376" s="721"/>
      <c r="P376" s="721"/>
      <c r="Q376" s="722"/>
      <c r="R376" s="293"/>
      <c r="S376" s="743"/>
      <c r="T376" s="744"/>
      <c r="U376" s="744"/>
      <c r="V376" s="745"/>
      <c r="W376" s="293"/>
      <c r="X376" s="323"/>
      <c r="Y376" s="324"/>
      <c r="Z376" s="325"/>
      <c r="AA376" s="326"/>
      <c r="AB376" s="254"/>
    </row>
    <row r="377" spans="1:29" ht="13.8" x14ac:dyDescent="0.25">
      <c r="A377" s="476"/>
      <c r="B377" s="847"/>
      <c r="C377" s="266"/>
      <c r="D377" s="705"/>
      <c r="E377" s="706"/>
      <c r="F377" s="706"/>
      <c r="G377" s="707"/>
      <c r="H377" s="293"/>
      <c r="I377" s="705"/>
      <c r="J377" s="706"/>
      <c r="K377" s="706"/>
      <c r="L377" s="707"/>
      <c r="M377" s="293"/>
      <c r="N377" s="899"/>
      <c r="O377" s="768"/>
      <c r="P377" s="768"/>
      <c r="Q377" s="900"/>
      <c r="R377" s="293"/>
      <c r="S377" s="705"/>
      <c r="T377" s="706"/>
      <c r="U377" s="706"/>
      <c r="V377" s="707"/>
      <c r="W377" s="293"/>
      <c r="X377" s="323"/>
      <c r="Y377" s="324"/>
      <c r="Z377" s="325"/>
      <c r="AA377" s="326"/>
      <c r="AB377" s="254"/>
    </row>
    <row r="378" spans="1:29" ht="13.8" x14ac:dyDescent="0.25">
      <c r="A378" s="476"/>
      <c r="B378" s="847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899"/>
      <c r="O378" s="768"/>
      <c r="P378" s="768"/>
      <c r="Q378" s="900"/>
      <c r="R378" s="293"/>
      <c r="S378" s="660"/>
      <c r="T378" s="661"/>
      <c r="U378" s="661"/>
      <c r="V378" s="662"/>
      <c r="W378" s="293"/>
      <c r="X378" s="323"/>
      <c r="Y378" s="324"/>
      <c r="Z378" s="325"/>
      <c r="AA378" s="326"/>
      <c r="AB378" s="254"/>
    </row>
    <row r="379" spans="1:29" ht="13.8" x14ac:dyDescent="0.25">
      <c r="A379" s="476"/>
      <c r="B379" s="847"/>
      <c r="C379" s="266"/>
      <c r="D379" s="705"/>
      <c r="E379" s="706"/>
      <c r="F379" s="706"/>
      <c r="G379" s="707"/>
      <c r="H379" s="293"/>
      <c r="I379" s="705"/>
      <c r="J379" s="706"/>
      <c r="K379" s="706"/>
      <c r="L379" s="707"/>
      <c r="M379" s="293"/>
      <c r="N379" s="899"/>
      <c r="O379" s="768"/>
      <c r="P379" s="768"/>
      <c r="Q379" s="900"/>
      <c r="R379" s="293"/>
      <c r="S379" s="705"/>
      <c r="T379" s="706"/>
      <c r="U379" s="706"/>
      <c r="V379" s="707"/>
      <c r="W379" s="293"/>
      <c r="X379" s="323"/>
      <c r="Y379" s="324"/>
      <c r="Z379" s="325"/>
      <c r="AA379" s="326"/>
      <c r="AB379" s="254"/>
    </row>
    <row r="380" spans="1:29" ht="13.8" x14ac:dyDescent="0.25">
      <c r="A380" s="476"/>
      <c r="B380" s="847"/>
      <c r="C380" s="266"/>
      <c r="D380" s="705"/>
      <c r="E380" s="706"/>
      <c r="F380" s="706"/>
      <c r="G380" s="707"/>
      <c r="H380" s="293"/>
      <c r="I380" s="705"/>
      <c r="J380" s="706"/>
      <c r="K380" s="706"/>
      <c r="L380" s="707"/>
      <c r="M380" s="293"/>
      <c r="N380" s="899"/>
      <c r="O380" s="768"/>
      <c r="P380" s="768"/>
      <c r="Q380" s="900"/>
      <c r="R380" s="293"/>
      <c r="S380" s="705"/>
      <c r="T380" s="706"/>
      <c r="U380" s="706"/>
      <c r="V380" s="707"/>
      <c r="W380" s="293"/>
      <c r="X380" s="323"/>
      <c r="Y380" s="324"/>
      <c r="Z380" s="325"/>
      <c r="AA380" s="326"/>
      <c r="AB380" s="254"/>
    </row>
    <row r="381" spans="1:29" ht="13.8" x14ac:dyDescent="0.25">
      <c r="A381" s="476"/>
      <c r="B381" s="847"/>
      <c r="C381" s="266"/>
      <c r="D381" s="708"/>
      <c r="E381" s="709"/>
      <c r="F381" s="709"/>
      <c r="G381" s="710"/>
      <c r="H381" s="293"/>
      <c r="I381" s="708"/>
      <c r="J381" s="709"/>
      <c r="K381" s="709"/>
      <c r="L381" s="710"/>
      <c r="M381" s="293"/>
      <c r="N381" s="901"/>
      <c r="O381" s="902"/>
      <c r="P381" s="902"/>
      <c r="Q381" s="903"/>
      <c r="R381" s="293"/>
      <c r="S381" s="708"/>
      <c r="T381" s="709"/>
      <c r="U381" s="709"/>
      <c r="V381" s="710"/>
      <c r="W381" s="293"/>
      <c r="X381" s="323"/>
      <c r="Y381" s="324"/>
      <c r="Z381" s="325"/>
      <c r="AA381" s="326"/>
      <c r="AB381" s="254"/>
    </row>
    <row r="382" spans="1:29" ht="13.8" x14ac:dyDescent="0.25">
      <c r="A382" s="476"/>
      <c r="B382" s="847"/>
      <c r="C382" s="266"/>
      <c r="D382" s="790" t="s">
        <v>293</v>
      </c>
      <c r="E382" s="791"/>
      <c r="F382" s="791"/>
      <c r="G382" s="792"/>
      <c r="H382" s="293"/>
      <c r="I382" s="790" t="s">
        <v>294</v>
      </c>
      <c r="J382" s="791"/>
      <c r="K382" s="791"/>
      <c r="L382" s="792"/>
      <c r="M382" s="293"/>
      <c r="N382" s="790" t="s">
        <v>477</v>
      </c>
      <c r="O382" s="791"/>
      <c r="P382" s="791"/>
      <c r="Q382" s="792"/>
      <c r="R382" s="293"/>
      <c r="S382" s="790" t="s">
        <v>625</v>
      </c>
      <c r="T382" s="791"/>
      <c r="U382" s="791"/>
      <c r="V382" s="792"/>
      <c r="W382" s="293"/>
      <c r="X382" s="323"/>
      <c r="Y382" s="324"/>
      <c r="Z382" s="325"/>
      <c r="AA382" s="326"/>
      <c r="AB382" s="254"/>
    </row>
    <row r="383" spans="1:29" ht="27" customHeight="1" x14ac:dyDescent="0.25">
      <c r="A383" s="476"/>
      <c r="B383" s="847"/>
      <c r="C383" s="266"/>
      <c r="D383" s="737" t="s">
        <v>680</v>
      </c>
      <c r="E383" s="738"/>
      <c r="F383" s="739"/>
      <c r="G383" s="740"/>
      <c r="H383" s="308"/>
      <c r="I383" s="737" t="s">
        <v>681</v>
      </c>
      <c r="J383" s="738"/>
      <c r="K383" s="739"/>
      <c r="L383" s="740"/>
      <c r="M383" s="293"/>
      <c r="N383" s="737" t="s">
        <v>682</v>
      </c>
      <c r="O383" s="738"/>
      <c r="P383" s="739"/>
      <c r="Q383" s="740"/>
      <c r="R383" s="293"/>
      <c r="S383" s="737" t="s">
        <v>683</v>
      </c>
      <c r="T383" s="738"/>
      <c r="U383" s="739"/>
      <c r="V383" s="740"/>
      <c r="W383" s="293"/>
      <c r="X383" s="323"/>
      <c r="Y383" s="324"/>
      <c r="Z383" s="325"/>
      <c r="AA383" s="326"/>
      <c r="AB383" s="254"/>
    </row>
    <row r="384" spans="1:29" ht="16.2" customHeight="1" x14ac:dyDescent="0.25">
      <c r="A384" s="476"/>
      <c r="B384" s="847"/>
      <c r="C384" s="266"/>
      <c r="D384" s="786">
        <v>0.09</v>
      </c>
      <c r="E384" s="787"/>
      <c r="F384" s="788">
        <v>0</v>
      </c>
      <c r="G384" s="789"/>
      <c r="H384" s="293"/>
      <c r="I384" s="786">
        <v>0.09</v>
      </c>
      <c r="J384" s="787"/>
      <c r="K384" s="788">
        <v>0</v>
      </c>
      <c r="L384" s="789"/>
      <c r="M384" s="293"/>
      <c r="N384" s="786">
        <v>0.09</v>
      </c>
      <c r="O384" s="787"/>
      <c r="P384" s="788">
        <v>0</v>
      </c>
      <c r="Q384" s="789"/>
      <c r="R384" s="293"/>
      <c r="S384" s="786">
        <v>0.12</v>
      </c>
      <c r="T384" s="787"/>
      <c r="U384" s="788">
        <v>0</v>
      </c>
      <c r="V384" s="789"/>
      <c r="W384" s="293"/>
      <c r="X384" s="323"/>
      <c r="Y384" s="324"/>
      <c r="Z384" s="325"/>
      <c r="AA384" s="326"/>
      <c r="AB384" s="254"/>
    </row>
    <row r="385" spans="1:29" s="500" customFormat="1" ht="16.2" customHeight="1" x14ac:dyDescent="0.25">
      <c r="A385" s="496"/>
      <c r="B385" s="847"/>
      <c r="C385" s="266"/>
      <c r="D385" s="635">
        <f>D384*G385</f>
        <v>18</v>
      </c>
      <c r="E385" s="578"/>
      <c r="F385" s="575" t="s">
        <v>295</v>
      </c>
      <c r="G385" s="579">
        <v>200</v>
      </c>
      <c r="H385" s="577"/>
      <c r="I385" s="635">
        <f>I384*L385</f>
        <v>18</v>
      </c>
      <c r="J385" s="578"/>
      <c r="K385" s="575" t="s">
        <v>295</v>
      </c>
      <c r="L385" s="579">
        <v>200</v>
      </c>
      <c r="M385" s="577"/>
      <c r="N385" s="635">
        <f>N384*Q385</f>
        <v>18</v>
      </c>
      <c r="O385" s="578"/>
      <c r="P385" s="575" t="s">
        <v>295</v>
      </c>
      <c r="Q385" s="579">
        <v>200</v>
      </c>
      <c r="R385" s="577"/>
      <c r="S385" s="635">
        <f>S384*V385</f>
        <v>24</v>
      </c>
      <c r="T385" s="578"/>
      <c r="U385" s="575" t="s">
        <v>295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3.8" x14ac:dyDescent="0.25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3.8" x14ac:dyDescent="0.25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2" customHeight="1" x14ac:dyDescent="0.25">
      <c r="A388" s="476"/>
      <c r="B388" s="847" t="s">
        <v>241</v>
      </c>
      <c r="C388" s="265"/>
      <c r="D388" s="340"/>
      <c r="E388" s="341"/>
      <c r="F388" s="341"/>
      <c r="G388" s="342"/>
      <c r="H388" s="293"/>
      <c r="I388" s="743"/>
      <c r="J388" s="744"/>
      <c r="K388" s="744"/>
      <c r="L388" s="745"/>
      <c r="M388" s="293"/>
      <c r="N388" s="743"/>
      <c r="O388" s="744"/>
      <c r="P388" s="744"/>
      <c r="Q388" s="744"/>
      <c r="R388" s="343"/>
      <c r="S388" s="744"/>
      <c r="T388" s="744"/>
      <c r="U388" s="744"/>
      <c r="V388" s="745"/>
      <c r="W388" s="293"/>
      <c r="X388" s="718"/>
      <c r="Y388" s="718"/>
      <c r="Z388" s="718"/>
      <c r="AA388" s="718"/>
      <c r="AB388" s="254"/>
    </row>
    <row r="389" spans="1:29" ht="13.2" customHeight="1" x14ac:dyDescent="0.25">
      <c r="A389" s="476"/>
      <c r="B389" s="847"/>
      <c r="C389" s="265"/>
      <c r="D389" s="316"/>
      <c r="E389" s="317"/>
      <c r="F389" s="317"/>
      <c r="G389" s="318"/>
      <c r="H389" s="293"/>
      <c r="I389" s="705"/>
      <c r="J389" s="706"/>
      <c r="K389" s="706"/>
      <c r="L389" s="707"/>
      <c r="M389" s="293"/>
      <c r="N389" s="705"/>
      <c r="O389" s="706"/>
      <c r="P389" s="706"/>
      <c r="Q389" s="706"/>
      <c r="R389" s="343"/>
      <c r="S389" s="706"/>
      <c r="T389" s="706"/>
      <c r="U389" s="706"/>
      <c r="V389" s="707"/>
      <c r="W389" s="293"/>
      <c r="X389" s="718"/>
      <c r="Y389" s="718"/>
      <c r="Z389" s="718"/>
      <c r="AA389" s="718"/>
      <c r="AB389" s="254"/>
    </row>
    <row r="390" spans="1:29" ht="13.2" customHeight="1" x14ac:dyDescent="0.25">
      <c r="A390" s="476"/>
      <c r="B390" s="847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2" customHeight="1" x14ac:dyDescent="0.25">
      <c r="A391" s="476"/>
      <c r="B391" s="847"/>
      <c r="C391" s="265"/>
      <c r="D391" s="316"/>
      <c r="E391" s="317"/>
      <c r="F391" s="317"/>
      <c r="G391" s="318"/>
      <c r="H391" s="293"/>
      <c r="I391" s="705"/>
      <c r="J391" s="706"/>
      <c r="K391" s="706"/>
      <c r="L391" s="707"/>
      <c r="M391" s="293"/>
      <c r="N391" s="705"/>
      <c r="O391" s="706"/>
      <c r="P391" s="706"/>
      <c r="Q391" s="706"/>
      <c r="R391" s="343"/>
      <c r="S391" s="706"/>
      <c r="T391" s="706"/>
      <c r="U391" s="706"/>
      <c r="V391" s="707"/>
      <c r="W391" s="293"/>
      <c r="X391" s="718"/>
      <c r="Y391" s="718"/>
      <c r="Z391" s="718"/>
      <c r="AA391" s="718"/>
      <c r="AB391" s="254"/>
    </row>
    <row r="392" spans="1:29" ht="13.2" customHeight="1" x14ac:dyDescent="0.25">
      <c r="A392" s="476"/>
      <c r="B392" s="847"/>
      <c r="C392" s="265"/>
      <c r="D392" s="316"/>
      <c r="E392" s="317"/>
      <c r="F392" s="317"/>
      <c r="G392" s="318"/>
      <c r="H392" s="293"/>
      <c r="I392" s="705"/>
      <c r="J392" s="706"/>
      <c r="K392" s="706"/>
      <c r="L392" s="707"/>
      <c r="M392" s="293"/>
      <c r="N392" s="705"/>
      <c r="O392" s="706"/>
      <c r="P392" s="706"/>
      <c r="Q392" s="706"/>
      <c r="R392" s="343"/>
      <c r="S392" s="706"/>
      <c r="T392" s="706"/>
      <c r="U392" s="706"/>
      <c r="V392" s="707"/>
      <c r="W392" s="293"/>
      <c r="X392" s="718"/>
      <c r="Y392" s="718"/>
      <c r="Z392" s="718"/>
      <c r="AA392" s="718"/>
      <c r="AB392" s="254"/>
    </row>
    <row r="393" spans="1:29" ht="13.2" customHeight="1" x14ac:dyDescent="0.25">
      <c r="A393" s="476"/>
      <c r="B393" s="847"/>
      <c r="C393" s="265"/>
      <c r="D393" s="316"/>
      <c r="E393" s="317"/>
      <c r="F393" s="317"/>
      <c r="G393" s="318"/>
      <c r="H393" s="293"/>
      <c r="I393" s="705"/>
      <c r="J393" s="706"/>
      <c r="K393" s="706"/>
      <c r="L393" s="707"/>
      <c r="M393" s="293"/>
      <c r="N393" s="705"/>
      <c r="O393" s="706"/>
      <c r="P393" s="706"/>
      <c r="Q393" s="706"/>
      <c r="R393" s="343"/>
      <c r="S393" s="706"/>
      <c r="T393" s="706"/>
      <c r="U393" s="706"/>
      <c r="V393" s="707"/>
      <c r="W393" s="293"/>
      <c r="X393" s="718"/>
      <c r="Y393" s="718"/>
      <c r="Z393" s="718"/>
      <c r="AA393" s="718"/>
      <c r="AB393" s="254"/>
    </row>
    <row r="394" spans="1:29" ht="13.8" x14ac:dyDescent="0.25">
      <c r="A394" s="476"/>
      <c r="B394" s="847"/>
      <c r="C394" s="265"/>
      <c r="D394" s="790" t="s">
        <v>417</v>
      </c>
      <c r="E394" s="791"/>
      <c r="F394" s="791"/>
      <c r="G394" s="792"/>
      <c r="H394" s="293"/>
      <c r="I394" s="790" t="s">
        <v>418</v>
      </c>
      <c r="J394" s="791"/>
      <c r="K394" s="791"/>
      <c r="L394" s="792"/>
      <c r="M394" s="293"/>
      <c r="N394" s="790" t="s">
        <v>196</v>
      </c>
      <c r="O394" s="791"/>
      <c r="P394" s="791"/>
      <c r="Q394" s="792"/>
      <c r="R394" s="293"/>
      <c r="S394" s="790" t="s">
        <v>419</v>
      </c>
      <c r="T394" s="791"/>
      <c r="U394" s="791"/>
      <c r="V394" s="792"/>
      <c r="W394" s="293"/>
      <c r="X394" s="778"/>
      <c r="Y394" s="778"/>
      <c r="Z394" s="778"/>
      <c r="AA394" s="778"/>
      <c r="AB394" s="254"/>
    </row>
    <row r="395" spans="1:29" s="204" customFormat="1" ht="27" customHeight="1" x14ac:dyDescent="0.25">
      <c r="A395" s="491"/>
      <c r="B395" s="847"/>
      <c r="C395" s="265"/>
      <c r="D395" s="952" t="s">
        <v>684</v>
      </c>
      <c r="E395" s="953"/>
      <c r="F395" s="954"/>
      <c r="G395" s="955"/>
      <c r="H395" s="308"/>
      <c r="I395" s="952" t="s">
        <v>685</v>
      </c>
      <c r="J395" s="953"/>
      <c r="K395" s="954"/>
      <c r="L395" s="955"/>
      <c r="M395" s="308"/>
      <c r="N395" s="952" t="s">
        <v>686</v>
      </c>
      <c r="O395" s="953"/>
      <c r="P395" s="954"/>
      <c r="Q395" s="955"/>
      <c r="R395" s="308"/>
      <c r="S395" s="737" t="s">
        <v>687</v>
      </c>
      <c r="T395" s="738"/>
      <c r="U395" s="739"/>
      <c r="V395" s="740"/>
      <c r="W395" s="308"/>
      <c r="X395" s="939"/>
      <c r="Y395" s="939"/>
      <c r="Z395" s="939"/>
      <c r="AA395" s="939"/>
      <c r="AB395" s="262"/>
      <c r="AC395" s="438"/>
    </row>
    <row r="396" spans="1:29" s="193" customFormat="1" ht="16.2" customHeight="1" x14ac:dyDescent="0.25">
      <c r="A396" s="479"/>
      <c r="B396" s="847"/>
      <c r="C396" s="265"/>
      <c r="D396" s="786">
        <v>3.5</v>
      </c>
      <c r="E396" s="1132"/>
      <c r="F396" s="788">
        <v>0</v>
      </c>
      <c r="G396" s="789"/>
      <c r="H396" s="293"/>
      <c r="I396" s="786">
        <v>3.5</v>
      </c>
      <c r="J396" s="787"/>
      <c r="K396" s="788">
        <v>0</v>
      </c>
      <c r="L396" s="789"/>
      <c r="M396" s="293"/>
      <c r="N396" s="786">
        <v>3.5</v>
      </c>
      <c r="O396" s="787"/>
      <c r="P396" s="788">
        <v>0</v>
      </c>
      <c r="Q396" s="789"/>
      <c r="R396" s="293"/>
      <c r="S396" s="786">
        <v>1</v>
      </c>
      <c r="T396" s="787"/>
      <c r="U396" s="788">
        <v>0</v>
      </c>
      <c r="V396" s="789"/>
      <c r="W396" s="293"/>
      <c r="X396" s="915"/>
      <c r="Y396" s="915"/>
      <c r="Z396" s="862"/>
      <c r="AA396" s="862"/>
      <c r="AB396" s="254"/>
      <c r="AC396" s="405"/>
    </row>
    <row r="397" spans="1:29" s="500" customFormat="1" ht="13.8" x14ac:dyDescent="0.25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35">
        <f>S396*V397</f>
        <v>200</v>
      </c>
      <c r="T397" s="578"/>
      <c r="U397" s="575" t="s">
        <v>295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3.8" x14ac:dyDescent="0.25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5" customHeight="1" x14ac:dyDescent="0.25">
      <c r="A399" s="476"/>
      <c r="B399" s="847" t="s">
        <v>482</v>
      </c>
      <c r="C399" s="265"/>
      <c r="D399" s="720"/>
      <c r="E399" s="721"/>
      <c r="F399" s="721"/>
      <c r="G399" s="722"/>
      <c r="H399" s="293"/>
      <c r="I399" s="720"/>
      <c r="J399" s="721"/>
      <c r="K399" s="721"/>
      <c r="L399" s="722"/>
      <c r="M399" s="293"/>
      <c r="N399" s="743"/>
      <c r="O399" s="744"/>
      <c r="P399" s="744"/>
      <c r="Q399" s="745"/>
      <c r="R399" s="293"/>
      <c r="S399" s="720"/>
      <c r="T399" s="721"/>
      <c r="U399" s="721"/>
      <c r="V399" s="722"/>
      <c r="W399" s="293"/>
      <c r="X399" s="720"/>
      <c r="Y399" s="721"/>
      <c r="Z399" s="721"/>
      <c r="AA399" s="722"/>
      <c r="AB399" s="254"/>
    </row>
    <row r="400" spans="1:29" ht="13.8" x14ac:dyDescent="0.25">
      <c r="A400" s="476"/>
      <c r="B400" s="847"/>
      <c r="C400" s="265"/>
      <c r="D400" s="723"/>
      <c r="E400" s="724"/>
      <c r="F400" s="724"/>
      <c r="G400" s="725"/>
      <c r="H400" s="293"/>
      <c r="I400" s="723"/>
      <c r="J400" s="724"/>
      <c r="K400" s="724"/>
      <c r="L400" s="725"/>
      <c r="M400" s="293"/>
      <c r="N400" s="705"/>
      <c r="O400" s="706"/>
      <c r="P400" s="706"/>
      <c r="Q400" s="707"/>
      <c r="R400" s="293"/>
      <c r="S400" s="899"/>
      <c r="T400" s="768"/>
      <c r="U400" s="768"/>
      <c r="V400" s="900"/>
      <c r="W400" s="293"/>
      <c r="X400" s="899"/>
      <c r="Y400" s="768"/>
      <c r="Z400" s="768"/>
      <c r="AA400" s="900"/>
      <c r="AB400" s="254"/>
    </row>
    <row r="401" spans="1:29" ht="13.8" x14ac:dyDescent="0.25">
      <c r="A401" s="476"/>
      <c r="B401" s="847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899"/>
      <c r="T401" s="768"/>
      <c r="U401" s="768"/>
      <c r="V401" s="900"/>
      <c r="W401" s="293"/>
      <c r="X401" s="899"/>
      <c r="Y401" s="768"/>
      <c r="Z401" s="768"/>
      <c r="AA401" s="900"/>
      <c r="AB401" s="254"/>
    </row>
    <row r="402" spans="1:29" ht="13.8" x14ac:dyDescent="0.25">
      <c r="A402" s="476"/>
      <c r="B402" s="847"/>
      <c r="C402" s="265"/>
      <c r="D402" s="723"/>
      <c r="E402" s="724"/>
      <c r="F402" s="724"/>
      <c r="G402" s="725"/>
      <c r="H402" s="293"/>
      <c r="I402" s="723"/>
      <c r="J402" s="724"/>
      <c r="K402" s="724"/>
      <c r="L402" s="725"/>
      <c r="M402" s="293"/>
      <c r="N402" s="705"/>
      <c r="O402" s="706"/>
      <c r="P402" s="706"/>
      <c r="Q402" s="707"/>
      <c r="R402" s="293"/>
      <c r="S402" s="899"/>
      <c r="T402" s="768"/>
      <c r="U402" s="768"/>
      <c r="V402" s="900"/>
      <c r="W402" s="293"/>
      <c r="X402" s="899"/>
      <c r="Y402" s="768"/>
      <c r="Z402" s="768"/>
      <c r="AA402" s="900"/>
      <c r="AB402" s="254"/>
    </row>
    <row r="403" spans="1:29" ht="13.8" x14ac:dyDescent="0.25">
      <c r="A403" s="476"/>
      <c r="B403" s="847"/>
      <c r="C403" s="265"/>
      <c r="D403" s="723"/>
      <c r="E403" s="724"/>
      <c r="F403" s="724"/>
      <c r="G403" s="725"/>
      <c r="H403" s="293"/>
      <c r="I403" s="723"/>
      <c r="J403" s="724"/>
      <c r="K403" s="724"/>
      <c r="L403" s="725"/>
      <c r="M403" s="293"/>
      <c r="N403" s="705"/>
      <c r="O403" s="706"/>
      <c r="P403" s="706"/>
      <c r="Q403" s="707"/>
      <c r="R403" s="293"/>
      <c r="S403" s="899"/>
      <c r="T403" s="768"/>
      <c r="U403" s="768"/>
      <c r="V403" s="900"/>
      <c r="W403" s="293"/>
      <c r="X403" s="899"/>
      <c r="Y403" s="768"/>
      <c r="Z403" s="768"/>
      <c r="AA403" s="900"/>
      <c r="AB403" s="254"/>
    </row>
    <row r="404" spans="1:29" ht="13.8" x14ac:dyDescent="0.25">
      <c r="A404" s="476"/>
      <c r="B404" s="847"/>
      <c r="C404" s="265"/>
      <c r="D404" s="773"/>
      <c r="E404" s="774"/>
      <c r="F404" s="774"/>
      <c r="G404" s="775"/>
      <c r="H404" s="293"/>
      <c r="I404" s="773"/>
      <c r="J404" s="774"/>
      <c r="K404" s="774"/>
      <c r="L404" s="775"/>
      <c r="M404" s="293"/>
      <c r="N404" s="708"/>
      <c r="O404" s="709"/>
      <c r="P404" s="709"/>
      <c r="Q404" s="710"/>
      <c r="R404" s="293"/>
      <c r="S404" s="901"/>
      <c r="T404" s="902"/>
      <c r="U404" s="902"/>
      <c r="V404" s="903"/>
      <c r="W404" s="293"/>
      <c r="X404" s="901"/>
      <c r="Y404" s="902"/>
      <c r="Z404" s="902"/>
      <c r="AA404" s="903"/>
      <c r="AB404" s="254"/>
    </row>
    <row r="405" spans="1:29" ht="13.8" x14ac:dyDescent="0.25">
      <c r="A405" s="476"/>
      <c r="B405" s="847"/>
      <c r="C405" s="265"/>
      <c r="D405" s="755" t="s">
        <v>234</v>
      </c>
      <c r="E405" s="756"/>
      <c r="F405" s="756"/>
      <c r="G405" s="757"/>
      <c r="H405" s="293"/>
      <c r="I405" s="755" t="s">
        <v>237</v>
      </c>
      <c r="J405" s="756"/>
      <c r="K405" s="756"/>
      <c r="L405" s="757"/>
      <c r="M405" s="293"/>
      <c r="N405" s="790" t="s">
        <v>382</v>
      </c>
      <c r="O405" s="791"/>
      <c r="P405" s="791"/>
      <c r="Q405" s="792"/>
      <c r="R405" s="293"/>
      <c r="S405" s="790" t="s">
        <v>465</v>
      </c>
      <c r="T405" s="791"/>
      <c r="U405" s="791"/>
      <c r="V405" s="792"/>
      <c r="W405" s="293"/>
      <c r="X405" s="790" t="s">
        <v>464</v>
      </c>
      <c r="Y405" s="791"/>
      <c r="Z405" s="791"/>
      <c r="AA405" s="792"/>
      <c r="AB405" s="254"/>
    </row>
    <row r="406" spans="1:29" ht="27" customHeight="1" x14ac:dyDescent="0.25">
      <c r="A406" s="476"/>
      <c r="B406" s="847"/>
      <c r="C406" s="265"/>
      <c r="D406" s="737" t="s">
        <v>688</v>
      </c>
      <c r="E406" s="738"/>
      <c r="F406" s="739"/>
      <c r="G406" s="740"/>
      <c r="H406" s="308"/>
      <c r="I406" s="737" t="s">
        <v>689</v>
      </c>
      <c r="J406" s="738"/>
      <c r="K406" s="739"/>
      <c r="L406" s="740"/>
      <c r="M406" s="308"/>
      <c r="N406" s="737" t="s">
        <v>877</v>
      </c>
      <c r="O406" s="738"/>
      <c r="P406" s="739"/>
      <c r="Q406" s="740"/>
      <c r="R406" s="293"/>
      <c r="S406" s="737" t="s">
        <v>690</v>
      </c>
      <c r="T406" s="738"/>
      <c r="U406" s="739"/>
      <c r="V406" s="740"/>
      <c r="W406" s="293"/>
      <c r="X406" s="737" t="s">
        <v>691</v>
      </c>
      <c r="Y406" s="738"/>
      <c r="Z406" s="739"/>
      <c r="AA406" s="740"/>
      <c r="AB406" s="262"/>
    </row>
    <row r="407" spans="1:29" ht="16.2" customHeight="1" x14ac:dyDescent="0.25">
      <c r="A407" s="476"/>
      <c r="B407" s="847"/>
      <c r="C407" s="265"/>
      <c r="D407" s="870">
        <v>0.8</v>
      </c>
      <c r="E407" s="785"/>
      <c r="F407" s="788">
        <v>8</v>
      </c>
      <c r="G407" s="789"/>
      <c r="H407" s="293"/>
      <c r="I407" s="870">
        <v>0.8</v>
      </c>
      <c r="J407" s="785"/>
      <c r="K407" s="788">
        <v>8</v>
      </c>
      <c r="L407" s="789"/>
      <c r="M407" s="293"/>
      <c r="N407" s="870">
        <v>1</v>
      </c>
      <c r="O407" s="785"/>
      <c r="P407" s="788">
        <v>0</v>
      </c>
      <c r="Q407" s="789"/>
      <c r="R407" s="293"/>
      <c r="S407" s="786">
        <v>17.5</v>
      </c>
      <c r="T407" s="787"/>
      <c r="U407" s="788">
        <v>0</v>
      </c>
      <c r="V407" s="789"/>
      <c r="W407" s="293"/>
      <c r="X407" s="786">
        <v>17.5</v>
      </c>
      <c r="Y407" s="787"/>
      <c r="Z407" s="788">
        <v>0</v>
      </c>
      <c r="AA407" s="789"/>
      <c r="AB407" s="254"/>
    </row>
    <row r="408" spans="1:29" s="500" customFormat="1" ht="16.2" customHeight="1" x14ac:dyDescent="0.25">
      <c r="A408" s="496"/>
      <c r="B408" s="847"/>
      <c r="C408" s="265"/>
      <c r="D408" s="635">
        <f>D407*G408</f>
        <v>144</v>
      </c>
      <c r="E408" s="578"/>
      <c r="F408" s="575" t="s">
        <v>295</v>
      </c>
      <c r="G408" s="576">
        <v>180</v>
      </c>
      <c r="H408" s="577"/>
      <c r="I408" s="635">
        <f>I407*L408</f>
        <v>144</v>
      </c>
      <c r="J408" s="578"/>
      <c r="K408" s="575" t="s">
        <v>295</v>
      </c>
      <c r="L408" s="576">
        <v>180</v>
      </c>
      <c r="M408" s="577"/>
      <c r="N408" s="635">
        <f>N407*Q408</f>
        <v>90</v>
      </c>
      <c r="O408" s="578"/>
      <c r="P408" s="575" t="s">
        <v>295</v>
      </c>
      <c r="Q408" s="579">
        <v>90</v>
      </c>
      <c r="R408" s="577"/>
      <c r="S408" s="635">
        <f>S407*V408</f>
        <v>35</v>
      </c>
      <c r="T408" s="578"/>
      <c r="U408" s="575" t="s">
        <v>295</v>
      </c>
      <c r="V408" s="579">
        <v>2</v>
      </c>
      <c r="W408" s="577"/>
      <c r="X408" s="635">
        <f>X407*AA408</f>
        <v>35</v>
      </c>
      <c r="Y408" s="578"/>
      <c r="Z408" s="575" t="s">
        <v>295</v>
      </c>
      <c r="AA408" s="579">
        <v>2</v>
      </c>
      <c r="AB408" s="497"/>
      <c r="AC408" s="499"/>
    </row>
    <row r="409" spans="1:29" ht="13.8" x14ac:dyDescent="0.25">
      <c r="A409" s="476"/>
      <c r="B409" s="847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3.8" x14ac:dyDescent="0.25">
      <c r="A410" s="476"/>
      <c r="B410" s="847"/>
      <c r="C410" s="265"/>
      <c r="D410" s="743"/>
      <c r="E410" s="744"/>
      <c r="F410" s="744"/>
      <c r="G410" s="745"/>
      <c r="H410" s="293"/>
      <c r="I410" s="743"/>
      <c r="J410" s="744"/>
      <c r="K410" s="744"/>
      <c r="L410" s="745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3.8" x14ac:dyDescent="0.25">
      <c r="A411" s="476"/>
      <c r="B411" s="847"/>
      <c r="C411" s="265"/>
      <c r="D411" s="705"/>
      <c r="E411" s="706"/>
      <c r="F411" s="706"/>
      <c r="G411" s="707"/>
      <c r="H411" s="293"/>
      <c r="I411" s="705"/>
      <c r="J411" s="706"/>
      <c r="K411" s="706"/>
      <c r="L411" s="707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3.8" x14ac:dyDescent="0.25">
      <c r="A412" s="476"/>
      <c r="B412" s="847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3.8" x14ac:dyDescent="0.25">
      <c r="A413" s="476"/>
      <c r="B413" s="847"/>
      <c r="C413" s="265"/>
      <c r="D413" s="705"/>
      <c r="E413" s="706"/>
      <c r="F413" s="706"/>
      <c r="G413" s="707"/>
      <c r="H413" s="293"/>
      <c r="I413" s="705"/>
      <c r="J413" s="706"/>
      <c r="K413" s="706"/>
      <c r="L413" s="707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76"/>
      <c r="B414" s="847"/>
      <c r="C414" s="265"/>
      <c r="D414" s="705"/>
      <c r="E414" s="706"/>
      <c r="F414" s="706"/>
      <c r="G414" s="707"/>
      <c r="H414" s="293"/>
      <c r="I414" s="705"/>
      <c r="J414" s="706"/>
      <c r="K414" s="706"/>
      <c r="L414" s="707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3.8" x14ac:dyDescent="0.25">
      <c r="A415" s="476"/>
      <c r="B415" s="847"/>
      <c r="C415" s="265"/>
      <c r="D415" s="708"/>
      <c r="E415" s="709"/>
      <c r="F415" s="709"/>
      <c r="G415" s="710"/>
      <c r="H415" s="293"/>
      <c r="I415" s="708"/>
      <c r="J415" s="709"/>
      <c r="K415" s="709"/>
      <c r="L415" s="710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3.8" x14ac:dyDescent="0.25">
      <c r="A416" s="476"/>
      <c r="B416" s="847"/>
      <c r="C416" s="265"/>
      <c r="D416" s="790" t="s">
        <v>238</v>
      </c>
      <c r="E416" s="791"/>
      <c r="F416" s="791"/>
      <c r="G416" s="792"/>
      <c r="H416" s="293"/>
      <c r="I416" s="790" t="s">
        <v>239</v>
      </c>
      <c r="J416" s="791"/>
      <c r="K416" s="791"/>
      <c r="L416" s="792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 x14ac:dyDescent="0.25">
      <c r="A417" s="476"/>
      <c r="B417" s="847"/>
      <c r="C417" s="265"/>
      <c r="D417" s="737" t="s">
        <v>693</v>
      </c>
      <c r="E417" s="738"/>
      <c r="F417" s="739"/>
      <c r="G417" s="740"/>
      <c r="H417" s="293"/>
      <c r="I417" s="737" t="s">
        <v>692</v>
      </c>
      <c r="J417" s="738"/>
      <c r="K417" s="739"/>
      <c r="L417" s="740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2" customHeight="1" x14ac:dyDescent="0.25">
      <c r="A418" s="476"/>
      <c r="B418" s="847"/>
      <c r="C418" s="265"/>
      <c r="D418" s="786">
        <v>0.15</v>
      </c>
      <c r="E418" s="787"/>
      <c r="F418" s="788">
        <v>16</v>
      </c>
      <c r="G418" s="789"/>
      <c r="H418" s="293"/>
      <c r="I418" s="786">
        <v>0.05</v>
      </c>
      <c r="J418" s="787"/>
      <c r="K418" s="788">
        <v>16</v>
      </c>
      <c r="L418" s="789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2" customHeight="1" x14ac:dyDescent="0.25">
      <c r="A419" s="496"/>
      <c r="B419" s="847"/>
      <c r="C419" s="265"/>
      <c r="D419" s="635">
        <f>D418*G419</f>
        <v>30</v>
      </c>
      <c r="E419" s="578"/>
      <c r="F419" s="575" t="s">
        <v>295</v>
      </c>
      <c r="G419" s="579">
        <v>200</v>
      </c>
      <c r="H419" s="577"/>
      <c r="I419" s="635">
        <f>I418*L419</f>
        <v>10</v>
      </c>
      <c r="J419" s="578"/>
      <c r="K419" s="575" t="s">
        <v>295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 x14ac:dyDescent="0.3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 x14ac:dyDescent="0.4">
      <c r="A421" s="492"/>
      <c r="B421" s="279"/>
      <c r="C421" s="279"/>
      <c r="D421" s="848" t="s">
        <v>485</v>
      </c>
      <c r="E421" s="848"/>
      <c r="F421" s="848"/>
      <c r="G421" s="848"/>
      <c r="H421" s="848"/>
      <c r="I421" s="848"/>
      <c r="J421" s="848"/>
      <c r="K421" s="848"/>
      <c r="L421" s="848"/>
      <c r="M421" s="848"/>
      <c r="N421" s="848"/>
      <c r="O421" s="848"/>
      <c r="P421" s="848"/>
      <c r="Q421" s="848"/>
      <c r="R421" s="848"/>
      <c r="S421" s="848"/>
      <c r="T421" s="848"/>
      <c r="U421" s="848"/>
      <c r="V421" s="848"/>
      <c r="W421" s="848"/>
      <c r="X421" s="848"/>
      <c r="Y421" s="848"/>
      <c r="Z421" s="848"/>
      <c r="AA421" s="848"/>
      <c r="AB421" s="279"/>
      <c r="AC421" s="439"/>
    </row>
    <row r="422" spans="1:34" s="202" customFormat="1" ht="20.7" customHeight="1" x14ac:dyDescent="0.4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2" customHeight="1" x14ac:dyDescent="0.25">
      <c r="A423" s="476"/>
      <c r="B423" s="254"/>
      <c r="C423" s="254"/>
      <c r="D423" s="743"/>
      <c r="E423" s="744"/>
      <c r="F423" s="744"/>
      <c r="G423" s="745"/>
      <c r="H423" s="293"/>
      <c r="I423" s="720"/>
      <c r="J423" s="721"/>
      <c r="K423" s="721"/>
      <c r="L423" s="722"/>
      <c r="M423" s="293"/>
      <c r="N423" s="293"/>
      <c r="O423" s="293"/>
      <c r="P423" s="293"/>
      <c r="Q423" s="293"/>
      <c r="R423" s="293"/>
      <c r="S423" s="720"/>
      <c r="T423" s="721"/>
      <c r="U423" s="721"/>
      <c r="V423" s="722"/>
      <c r="W423" s="293"/>
      <c r="X423" s="720"/>
      <c r="Y423" s="721"/>
      <c r="Z423" s="721"/>
      <c r="AA423" s="722"/>
      <c r="AB423" s="254"/>
    </row>
    <row r="424" spans="1:34" ht="13.2" customHeight="1" x14ac:dyDescent="0.25">
      <c r="A424" s="476"/>
      <c r="B424" s="254"/>
      <c r="C424" s="254"/>
      <c r="D424" s="705"/>
      <c r="E424" s="706"/>
      <c r="F424" s="706"/>
      <c r="G424" s="707"/>
      <c r="H424" s="293"/>
      <c r="I424" s="723"/>
      <c r="J424" s="724"/>
      <c r="K424" s="724"/>
      <c r="L424" s="725"/>
      <c r="M424" s="293"/>
      <c r="N424" s="293"/>
      <c r="O424" s="293"/>
      <c r="P424" s="293"/>
      <c r="Q424" s="293"/>
      <c r="R424" s="293"/>
      <c r="S424" s="723"/>
      <c r="T424" s="724"/>
      <c r="U424" s="724"/>
      <c r="V424" s="725"/>
      <c r="W424" s="293"/>
      <c r="X424" s="723"/>
      <c r="Y424" s="724"/>
      <c r="Z424" s="724"/>
      <c r="AA424" s="725"/>
      <c r="AB424" s="254"/>
    </row>
    <row r="425" spans="1:34" ht="13.2" customHeight="1" x14ac:dyDescent="0.25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9"/>
      <c r="T425" s="670"/>
      <c r="U425" s="670"/>
      <c r="V425" s="671"/>
      <c r="W425" s="293"/>
      <c r="X425" s="677"/>
      <c r="Y425" s="678"/>
      <c r="Z425" s="678"/>
      <c r="AA425" s="679"/>
      <c r="AB425" s="254"/>
      <c r="AC425" s="404"/>
      <c r="AD425" s="404"/>
      <c r="AE425" s="404"/>
      <c r="AF425" s="404"/>
      <c r="AG425" s="404"/>
    </row>
    <row r="426" spans="1:34" ht="13.2" customHeight="1" x14ac:dyDescent="0.25">
      <c r="A426" s="476"/>
      <c r="B426" s="254"/>
      <c r="C426" s="254"/>
      <c r="D426" s="705"/>
      <c r="E426" s="706"/>
      <c r="F426" s="706"/>
      <c r="G426" s="707"/>
      <c r="H426" s="293"/>
      <c r="I426" s="723"/>
      <c r="J426" s="724"/>
      <c r="K426" s="724"/>
      <c r="L426" s="725"/>
      <c r="M426" s="293"/>
      <c r="N426" s="293"/>
      <c r="O426" s="293"/>
      <c r="P426" s="293"/>
      <c r="Q426" s="293"/>
      <c r="R426" s="293"/>
      <c r="S426" s="723"/>
      <c r="T426" s="724"/>
      <c r="U426" s="724"/>
      <c r="V426" s="725"/>
      <c r="W426" s="293"/>
      <c r="X426" s="723"/>
      <c r="Y426" s="724"/>
      <c r="Z426" s="724"/>
      <c r="AA426" s="725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2" customHeight="1" x14ac:dyDescent="0.25">
      <c r="A427" s="479"/>
      <c r="B427" s="254"/>
      <c r="C427" s="254"/>
      <c r="D427" s="705"/>
      <c r="E427" s="706"/>
      <c r="F427" s="706"/>
      <c r="G427" s="707"/>
      <c r="H427" s="293"/>
      <c r="I427" s="723"/>
      <c r="J427" s="724"/>
      <c r="K427" s="724"/>
      <c r="L427" s="725"/>
      <c r="M427" s="293"/>
      <c r="N427" s="293"/>
      <c r="O427" s="293"/>
      <c r="P427" s="293"/>
      <c r="Q427" s="293"/>
      <c r="R427" s="293"/>
      <c r="S427" s="723"/>
      <c r="T427" s="724"/>
      <c r="U427" s="724"/>
      <c r="V427" s="725"/>
      <c r="W427" s="293"/>
      <c r="X427" s="723"/>
      <c r="Y427" s="724"/>
      <c r="Z427" s="724"/>
      <c r="AA427" s="725"/>
      <c r="AB427" s="254"/>
      <c r="AC427" s="406"/>
      <c r="AD427" s="406"/>
      <c r="AE427" s="406"/>
      <c r="AF427" s="406"/>
      <c r="AG427" s="406"/>
      <c r="AH427" s="405"/>
    </row>
    <row r="428" spans="1:34" ht="12.9" customHeight="1" x14ac:dyDescent="0.25">
      <c r="A428" s="476"/>
      <c r="B428" s="254"/>
      <c r="C428" s="254"/>
      <c r="D428" s="708"/>
      <c r="E428" s="709"/>
      <c r="F428" s="709"/>
      <c r="G428" s="710"/>
      <c r="H428" s="293"/>
      <c r="I428" s="773"/>
      <c r="J428" s="774"/>
      <c r="K428" s="774"/>
      <c r="L428" s="775"/>
      <c r="M428" s="293"/>
      <c r="N428" s="293"/>
      <c r="O428" s="293"/>
      <c r="P428" s="293"/>
      <c r="Q428" s="293"/>
      <c r="R428" s="293"/>
      <c r="S428" s="723"/>
      <c r="T428" s="724"/>
      <c r="U428" s="724"/>
      <c r="V428" s="725"/>
      <c r="W428" s="293"/>
      <c r="X428" s="773"/>
      <c r="Y428" s="774"/>
      <c r="Z428" s="774"/>
      <c r="AA428" s="775"/>
      <c r="AB428" s="254"/>
      <c r="AC428" s="404"/>
      <c r="AD428" s="1149"/>
      <c r="AE428" s="1149"/>
      <c r="AF428" s="1149"/>
      <c r="AG428" s="1149"/>
      <c r="AH428" s="206"/>
    </row>
    <row r="429" spans="1:34" ht="12" customHeight="1" x14ac:dyDescent="0.25">
      <c r="A429" s="476"/>
      <c r="B429" s="254"/>
      <c r="C429" s="254"/>
      <c r="D429" s="956" t="s">
        <v>198</v>
      </c>
      <c r="E429" s="957"/>
      <c r="F429" s="957"/>
      <c r="G429" s="958"/>
      <c r="H429" s="577"/>
      <c r="I429" s="956" t="s">
        <v>466</v>
      </c>
      <c r="J429" s="957"/>
      <c r="K429" s="957"/>
      <c r="L429" s="958"/>
      <c r="M429" s="577"/>
      <c r="N429" s="293"/>
      <c r="O429" s="293"/>
      <c r="P429" s="293"/>
      <c r="Q429" s="293"/>
      <c r="R429" s="577"/>
      <c r="S429" s="956" t="s">
        <v>487</v>
      </c>
      <c r="T429" s="957"/>
      <c r="U429" s="957"/>
      <c r="V429" s="958"/>
      <c r="W429" s="293"/>
      <c r="X429" s="956" t="s">
        <v>610</v>
      </c>
      <c r="Y429" s="957"/>
      <c r="Z429" s="957"/>
      <c r="AA429" s="958"/>
      <c r="AB429" s="254"/>
      <c r="AC429" s="1149"/>
      <c r="AD429" s="1149"/>
      <c r="AE429" s="1149"/>
      <c r="AF429" s="1149"/>
      <c r="AG429" s="404"/>
      <c r="AH429" s="206"/>
    </row>
    <row r="430" spans="1:34" s="188" customFormat="1" ht="27" customHeight="1" x14ac:dyDescent="0.25">
      <c r="A430" s="254"/>
      <c r="B430" s="262"/>
      <c r="C430" s="262"/>
      <c r="D430" s="737" t="s">
        <v>694</v>
      </c>
      <c r="E430" s="738"/>
      <c r="F430" s="738"/>
      <c r="G430" s="767"/>
      <c r="H430" s="308"/>
      <c r="I430" s="737" t="s">
        <v>695</v>
      </c>
      <c r="J430" s="738"/>
      <c r="K430" s="738"/>
      <c r="L430" s="767"/>
      <c r="M430" s="308"/>
      <c r="N430" s="293"/>
      <c r="O430" s="293"/>
      <c r="P430" s="293"/>
      <c r="Q430" s="293"/>
      <c r="R430" s="308"/>
      <c r="S430" s="1120" t="s">
        <v>696</v>
      </c>
      <c r="T430" s="1121"/>
      <c r="U430" s="1121"/>
      <c r="V430" s="1122"/>
      <c r="W430" s="308"/>
      <c r="X430" s="737" t="s">
        <v>931</v>
      </c>
      <c r="Y430" s="738"/>
      <c r="Z430" s="738"/>
      <c r="AA430" s="767"/>
      <c r="AB430" s="262"/>
      <c r="AC430" s="404"/>
      <c r="AD430" s="1150"/>
      <c r="AE430" s="1150"/>
      <c r="AF430" s="1150"/>
      <c r="AG430" s="1150"/>
      <c r="AH430" s="206"/>
    </row>
    <row r="431" spans="1:34" ht="16.2" customHeight="1" x14ac:dyDescent="0.25">
      <c r="A431" s="476"/>
      <c r="B431" s="254"/>
      <c r="C431" s="254"/>
      <c r="D431" s="779">
        <v>9</v>
      </c>
      <c r="E431" s="780"/>
      <c r="F431" s="781">
        <v>4</v>
      </c>
      <c r="G431" s="782"/>
      <c r="H431" s="293"/>
      <c r="I431" s="779">
        <v>11</v>
      </c>
      <c r="J431" s="780"/>
      <c r="K431" s="781">
        <v>0</v>
      </c>
      <c r="L431" s="782"/>
      <c r="M431" s="293"/>
      <c r="N431" s="293"/>
      <c r="O431" s="293"/>
      <c r="P431" s="293"/>
      <c r="Q431" s="293"/>
      <c r="R431" s="293"/>
      <c r="S431" s="779">
        <v>12</v>
      </c>
      <c r="T431" s="780"/>
      <c r="U431" s="781">
        <v>0</v>
      </c>
      <c r="V431" s="782"/>
      <c r="W431" s="293"/>
      <c r="X431" s="779">
        <v>14.5</v>
      </c>
      <c r="Y431" s="780"/>
      <c r="Z431" s="781">
        <v>0</v>
      </c>
      <c r="AA431" s="782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" customHeight="1" x14ac:dyDescent="0.25">
      <c r="A432" s="496"/>
      <c r="B432" s="497"/>
      <c r="C432" s="497"/>
      <c r="D432" s="637">
        <f>D431*G432</f>
        <v>54</v>
      </c>
      <c r="E432" s="574"/>
      <c r="F432" s="575" t="s">
        <v>295</v>
      </c>
      <c r="G432" s="576">
        <v>6</v>
      </c>
      <c r="H432" s="577"/>
      <c r="I432" s="637">
        <f>I431*L432</f>
        <v>66</v>
      </c>
      <c r="J432" s="574"/>
      <c r="K432" s="575" t="s">
        <v>295</v>
      </c>
      <c r="L432" s="576">
        <v>6</v>
      </c>
      <c r="M432" s="577"/>
      <c r="N432" s="293"/>
      <c r="O432" s="293"/>
      <c r="P432" s="293"/>
      <c r="Q432" s="293"/>
      <c r="R432" s="577"/>
      <c r="S432" s="637">
        <f>S431*V432</f>
        <v>72</v>
      </c>
      <c r="T432" s="574"/>
      <c r="U432" s="575" t="s">
        <v>295</v>
      </c>
      <c r="V432" s="576">
        <v>6</v>
      </c>
      <c r="W432" s="577"/>
      <c r="X432" s="637">
        <f>X431*AA432</f>
        <v>87</v>
      </c>
      <c r="Y432" s="574"/>
      <c r="Z432" s="575" t="s">
        <v>295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3.8" x14ac:dyDescent="0.25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8"/>
      <c r="T433" s="668"/>
      <c r="U433" s="332"/>
      <c r="V433" s="332"/>
      <c r="W433" s="293"/>
      <c r="X433" s="331"/>
      <c r="Y433" s="331"/>
      <c r="Z433" s="332"/>
      <c r="AA433" s="332"/>
      <c r="AB433" s="254"/>
    </row>
    <row r="434" spans="1:29" ht="13.8" x14ac:dyDescent="0.25">
      <c r="A434" s="476"/>
      <c r="B434" s="254"/>
      <c r="C434" s="254"/>
      <c r="D434" s="743"/>
      <c r="E434" s="744"/>
      <c r="F434" s="744"/>
      <c r="G434" s="745"/>
      <c r="H434" s="293"/>
      <c r="I434" s="743"/>
      <c r="J434" s="744"/>
      <c r="K434" s="744"/>
      <c r="L434" s="745"/>
      <c r="M434" s="293"/>
      <c r="N434" s="293"/>
      <c r="O434" s="293"/>
      <c r="P434" s="293"/>
      <c r="Q434" s="293"/>
      <c r="R434" s="293"/>
      <c r="S434" s="720"/>
      <c r="T434" s="721"/>
      <c r="U434" s="721"/>
      <c r="V434" s="722"/>
      <c r="W434" s="293"/>
      <c r="X434" s="720"/>
      <c r="Y434" s="721"/>
      <c r="Z434" s="721"/>
      <c r="AA434" s="722"/>
      <c r="AB434" s="254"/>
    </row>
    <row r="435" spans="1:29" ht="13.8" x14ac:dyDescent="0.25">
      <c r="A435" s="476"/>
      <c r="B435" s="254"/>
      <c r="C435" s="254"/>
      <c r="D435" s="705"/>
      <c r="E435" s="706"/>
      <c r="F435" s="706"/>
      <c r="G435" s="707"/>
      <c r="H435" s="293"/>
      <c r="I435" s="705"/>
      <c r="J435" s="706"/>
      <c r="K435" s="706"/>
      <c r="L435" s="707"/>
      <c r="M435" s="293"/>
      <c r="N435" s="293"/>
      <c r="O435" s="293"/>
      <c r="P435" s="293"/>
      <c r="Q435" s="293"/>
      <c r="R435" s="293"/>
      <c r="S435" s="723"/>
      <c r="T435" s="724"/>
      <c r="U435" s="724"/>
      <c r="V435" s="725"/>
      <c r="W435" s="293"/>
      <c r="X435" s="723"/>
      <c r="Y435" s="724"/>
      <c r="Z435" s="724"/>
      <c r="AA435" s="725"/>
      <c r="AB435" s="254"/>
    </row>
    <row r="436" spans="1:29" ht="13.8" x14ac:dyDescent="0.25">
      <c r="A436" s="476"/>
      <c r="B436" s="254"/>
      <c r="C436" s="254"/>
      <c r="D436" s="660"/>
      <c r="E436" s="661"/>
      <c r="F436" s="661"/>
      <c r="G436" s="662"/>
      <c r="H436" s="293"/>
      <c r="I436" s="660"/>
      <c r="J436" s="661"/>
      <c r="K436" s="661"/>
      <c r="L436" s="662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3.8" x14ac:dyDescent="0.25">
      <c r="A437" s="476"/>
      <c r="B437" s="254"/>
      <c r="C437" s="254"/>
      <c r="D437" s="705"/>
      <c r="E437" s="706"/>
      <c r="F437" s="706"/>
      <c r="G437" s="707"/>
      <c r="H437" s="293"/>
      <c r="I437" s="705"/>
      <c r="J437" s="706"/>
      <c r="K437" s="706"/>
      <c r="L437" s="707"/>
      <c r="M437" s="293"/>
      <c r="N437" s="293"/>
      <c r="O437" s="293"/>
      <c r="P437" s="293"/>
      <c r="Q437" s="293"/>
      <c r="R437" s="293"/>
      <c r="S437" s="723"/>
      <c r="T437" s="724"/>
      <c r="U437" s="724"/>
      <c r="V437" s="725"/>
      <c r="W437" s="293"/>
      <c r="X437" s="723"/>
      <c r="Y437" s="724"/>
      <c r="Z437" s="724"/>
      <c r="AA437" s="725"/>
      <c r="AB437" s="254"/>
    </row>
    <row r="438" spans="1:29" s="193" customFormat="1" ht="13.8" x14ac:dyDescent="0.25">
      <c r="A438" s="479"/>
      <c r="B438" s="254"/>
      <c r="C438" s="254"/>
      <c r="D438" s="705"/>
      <c r="E438" s="706"/>
      <c r="F438" s="706"/>
      <c r="G438" s="707"/>
      <c r="H438" s="293"/>
      <c r="I438" s="705"/>
      <c r="J438" s="706"/>
      <c r="K438" s="706"/>
      <c r="L438" s="707"/>
      <c r="M438" s="293"/>
      <c r="N438" s="337"/>
      <c r="O438" s="337"/>
      <c r="P438" s="337"/>
      <c r="Q438" s="337"/>
      <c r="R438" s="308"/>
      <c r="S438" s="723"/>
      <c r="T438" s="724"/>
      <c r="U438" s="724"/>
      <c r="V438" s="725"/>
      <c r="W438" s="293"/>
      <c r="X438" s="723"/>
      <c r="Y438" s="724"/>
      <c r="Z438" s="724"/>
      <c r="AA438" s="725"/>
      <c r="AB438" s="254"/>
      <c r="AC438" s="405"/>
    </row>
    <row r="439" spans="1:29" ht="12.75" customHeight="1" x14ac:dyDescent="0.25">
      <c r="A439" s="476"/>
      <c r="B439" s="254"/>
      <c r="C439" s="254"/>
      <c r="D439" s="708"/>
      <c r="E439" s="709"/>
      <c r="F439" s="709"/>
      <c r="G439" s="710"/>
      <c r="H439" s="293"/>
      <c r="I439" s="708"/>
      <c r="J439" s="709"/>
      <c r="K439" s="709"/>
      <c r="L439" s="710"/>
      <c r="M439" s="293"/>
      <c r="N439" s="293"/>
      <c r="O439" s="293"/>
      <c r="P439" s="293"/>
      <c r="Q439" s="293"/>
      <c r="R439" s="293"/>
      <c r="S439" s="773"/>
      <c r="T439" s="774"/>
      <c r="U439" s="774"/>
      <c r="V439" s="775"/>
      <c r="W439" s="293"/>
      <c r="X439" s="773"/>
      <c r="Y439" s="774"/>
      <c r="Z439" s="774"/>
      <c r="AA439" s="775"/>
      <c r="AB439" s="254"/>
    </row>
    <row r="440" spans="1:29" ht="12.45" customHeight="1" x14ac:dyDescent="0.25">
      <c r="A440" s="476"/>
      <c r="B440" s="254"/>
      <c r="C440" s="254"/>
      <c r="D440" s="790" t="s">
        <v>197</v>
      </c>
      <c r="E440" s="791"/>
      <c r="F440" s="791"/>
      <c r="G440" s="792"/>
      <c r="H440" s="293"/>
      <c r="I440" s="790" t="s">
        <v>199</v>
      </c>
      <c r="J440" s="791"/>
      <c r="K440" s="791"/>
      <c r="L440" s="792"/>
      <c r="M440" s="293"/>
      <c r="N440" s="293"/>
      <c r="O440" s="293"/>
      <c r="P440" s="293"/>
      <c r="Q440" s="293"/>
      <c r="R440" s="293"/>
      <c r="S440" s="790" t="s">
        <v>576</v>
      </c>
      <c r="T440" s="791"/>
      <c r="U440" s="791"/>
      <c r="V440" s="792"/>
      <c r="W440" s="293"/>
      <c r="X440" s="790" t="s">
        <v>577</v>
      </c>
      <c r="Y440" s="791"/>
      <c r="Z440" s="791"/>
      <c r="AA440" s="792"/>
      <c r="AB440" s="254"/>
    </row>
    <row r="441" spans="1:29" ht="27" customHeight="1" x14ac:dyDescent="0.25">
      <c r="A441" s="476"/>
      <c r="B441" s="262"/>
      <c r="C441" s="262"/>
      <c r="D441" s="737" t="s">
        <v>697</v>
      </c>
      <c r="E441" s="738"/>
      <c r="F441" s="738"/>
      <c r="G441" s="767"/>
      <c r="H441" s="308"/>
      <c r="I441" s="737" t="s">
        <v>698</v>
      </c>
      <c r="J441" s="738"/>
      <c r="K441" s="738"/>
      <c r="L441" s="767"/>
      <c r="M441" s="308"/>
      <c r="N441" s="293"/>
      <c r="O441" s="293"/>
      <c r="P441" s="293"/>
      <c r="Q441" s="293"/>
      <c r="R441" s="293"/>
      <c r="S441" s="1120" t="s">
        <v>699</v>
      </c>
      <c r="T441" s="1121"/>
      <c r="U441" s="1121"/>
      <c r="V441" s="1122"/>
      <c r="W441" s="308"/>
      <c r="X441" s="1120" t="s">
        <v>700</v>
      </c>
      <c r="Y441" s="1121"/>
      <c r="Z441" s="1121"/>
      <c r="AA441" s="1122"/>
      <c r="AB441" s="262"/>
    </row>
    <row r="442" spans="1:29" ht="16.2" customHeight="1" x14ac:dyDescent="0.25">
      <c r="A442" s="476"/>
      <c r="B442" s="254"/>
      <c r="C442" s="254"/>
      <c r="D442" s="783">
        <v>10</v>
      </c>
      <c r="E442" s="784"/>
      <c r="F442" s="781">
        <v>0</v>
      </c>
      <c r="G442" s="782"/>
      <c r="H442" s="293"/>
      <c r="I442" s="783">
        <v>12.5</v>
      </c>
      <c r="J442" s="784"/>
      <c r="K442" s="781">
        <v>0</v>
      </c>
      <c r="L442" s="782"/>
      <c r="M442" s="293"/>
      <c r="N442" s="293"/>
      <c r="O442" s="293"/>
      <c r="P442" s="293"/>
      <c r="Q442" s="293"/>
      <c r="R442" s="293"/>
      <c r="S442" s="779">
        <v>14</v>
      </c>
      <c r="T442" s="785"/>
      <c r="U442" s="781">
        <v>0</v>
      </c>
      <c r="V442" s="782"/>
      <c r="W442" s="293"/>
      <c r="X442" s="779">
        <v>16.5</v>
      </c>
      <c r="Y442" s="780"/>
      <c r="Z442" s="781">
        <v>0</v>
      </c>
      <c r="AA442" s="782"/>
      <c r="AB442" s="254"/>
    </row>
    <row r="443" spans="1:29" s="500" customFormat="1" ht="16.2" customHeight="1" x14ac:dyDescent="0.25">
      <c r="A443" s="496"/>
      <c r="B443" s="497"/>
      <c r="C443" s="497"/>
      <c r="D443" s="637">
        <f>D442*G443</f>
        <v>40</v>
      </c>
      <c r="E443" s="574"/>
      <c r="F443" s="575" t="s">
        <v>295</v>
      </c>
      <c r="G443" s="576">
        <v>4</v>
      </c>
      <c r="H443" s="577"/>
      <c r="I443" s="637">
        <f>I442*L443</f>
        <v>50</v>
      </c>
      <c r="J443" s="574"/>
      <c r="K443" s="575" t="s">
        <v>295</v>
      </c>
      <c r="L443" s="576">
        <v>4</v>
      </c>
      <c r="M443" s="577"/>
      <c r="N443" s="577"/>
      <c r="O443" s="577"/>
      <c r="P443" s="577"/>
      <c r="Q443" s="577"/>
      <c r="R443" s="577"/>
      <c r="S443" s="637">
        <f>S442*V443</f>
        <v>56</v>
      </c>
      <c r="T443" s="574"/>
      <c r="U443" s="575" t="s">
        <v>295</v>
      </c>
      <c r="V443" s="576">
        <v>4</v>
      </c>
      <c r="W443" s="577"/>
      <c r="X443" s="637">
        <f>X442*AA443</f>
        <v>66</v>
      </c>
      <c r="Y443" s="574"/>
      <c r="Z443" s="575" t="s">
        <v>295</v>
      </c>
      <c r="AA443" s="576">
        <v>4</v>
      </c>
      <c r="AB443" s="497"/>
      <c r="AC443" s="499"/>
    </row>
    <row r="444" spans="1:29" ht="13.8" x14ac:dyDescent="0.25">
      <c r="A444" s="476"/>
      <c r="B444" s="254"/>
      <c r="C444" s="254"/>
      <c r="D444" s="668"/>
      <c r="E444" s="668"/>
      <c r="F444" s="332"/>
      <c r="G444" s="332"/>
      <c r="H444" s="293"/>
      <c r="I444" s="668"/>
      <c r="J444" s="668"/>
      <c r="K444" s="332"/>
      <c r="L444" s="332"/>
      <c r="M444" s="293"/>
      <c r="N444" s="668"/>
      <c r="O444" s="668"/>
      <c r="P444" s="332"/>
      <c r="Q444" s="332"/>
      <c r="R444" s="293"/>
      <c r="S444" s="668"/>
      <c r="T444" s="668"/>
      <c r="U444" s="332"/>
      <c r="V444" s="332"/>
      <c r="W444" s="293"/>
      <c r="X444" s="668"/>
      <c r="Y444" s="668"/>
      <c r="Z444" s="332"/>
      <c r="AA444" s="332"/>
      <c r="AB444" s="254"/>
    </row>
    <row r="445" spans="1:29" ht="13.8" x14ac:dyDescent="0.25">
      <c r="A445" s="476"/>
      <c r="B445" s="254"/>
      <c r="C445" s="254"/>
      <c r="D445" s="720"/>
      <c r="E445" s="721"/>
      <c r="F445" s="721"/>
      <c r="G445" s="722"/>
      <c r="H445" s="293"/>
      <c r="I445" s="720"/>
      <c r="J445" s="721"/>
      <c r="K445" s="721"/>
      <c r="L445" s="722"/>
      <c r="M445" s="293"/>
      <c r="N445" s="293"/>
      <c r="O445" s="293"/>
      <c r="P445" s="293"/>
      <c r="Q445" s="293"/>
      <c r="R445" s="293"/>
      <c r="S445" s="720"/>
      <c r="T445" s="721"/>
      <c r="U445" s="721"/>
      <c r="V445" s="722"/>
      <c r="W445" s="293"/>
      <c r="X445" s="720"/>
      <c r="Y445" s="721"/>
      <c r="Z445" s="721"/>
      <c r="AA445" s="722"/>
      <c r="AB445" s="254"/>
    </row>
    <row r="446" spans="1:29" ht="13.8" x14ac:dyDescent="0.25">
      <c r="A446" s="476"/>
      <c r="B446" s="254"/>
      <c r="C446" s="254"/>
      <c r="D446" s="723"/>
      <c r="E446" s="724"/>
      <c r="F446" s="724"/>
      <c r="G446" s="725"/>
      <c r="H446" s="293"/>
      <c r="I446" s="723"/>
      <c r="J446" s="724"/>
      <c r="K446" s="724"/>
      <c r="L446" s="725"/>
      <c r="M446" s="293"/>
      <c r="N446" s="293"/>
      <c r="O446" s="293"/>
      <c r="P446" s="293"/>
      <c r="Q446" s="293"/>
      <c r="R446" s="293"/>
      <c r="S446" s="723"/>
      <c r="T446" s="724"/>
      <c r="U446" s="724"/>
      <c r="V446" s="725"/>
      <c r="W446" s="293"/>
      <c r="X446" s="723"/>
      <c r="Y446" s="724"/>
      <c r="Z446" s="724"/>
      <c r="AA446" s="725"/>
      <c r="AB446" s="254"/>
    </row>
    <row r="447" spans="1:29" ht="13.8" x14ac:dyDescent="0.25">
      <c r="A447" s="476"/>
      <c r="B447" s="254"/>
      <c r="C447" s="254"/>
      <c r="D447" s="664"/>
      <c r="E447" s="665"/>
      <c r="F447" s="665"/>
      <c r="G447" s="666"/>
      <c r="H447" s="293"/>
      <c r="I447" s="664"/>
      <c r="J447" s="665"/>
      <c r="K447" s="665"/>
      <c r="L447" s="666"/>
      <c r="M447" s="293"/>
      <c r="N447" s="293"/>
      <c r="O447" s="293"/>
      <c r="P447" s="293"/>
      <c r="Q447" s="293"/>
      <c r="R447" s="293"/>
      <c r="S447" s="664"/>
      <c r="T447" s="665"/>
      <c r="U447" s="665"/>
      <c r="V447" s="666"/>
      <c r="W447" s="293"/>
      <c r="X447" s="664"/>
      <c r="Y447" s="665"/>
      <c r="Z447" s="665"/>
      <c r="AA447" s="666"/>
      <c r="AB447" s="254"/>
    </row>
    <row r="448" spans="1:29" ht="13.8" x14ac:dyDescent="0.25">
      <c r="A448" s="476"/>
      <c r="B448" s="254"/>
      <c r="C448" s="254"/>
      <c r="D448" s="723"/>
      <c r="E448" s="724"/>
      <c r="F448" s="724"/>
      <c r="G448" s="725"/>
      <c r="H448" s="293"/>
      <c r="I448" s="723"/>
      <c r="J448" s="724"/>
      <c r="K448" s="724"/>
      <c r="L448" s="725"/>
      <c r="M448" s="293"/>
      <c r="N448" s="293"/>
      <c r="O448" s="293"/>
      <c r="P448" s="293"/>
      <c r="Q448" s="293"/>
      <c r="R448" s="293"/>
      <c r="S448" s="723"/>
      <c r="T448" s="724"/>
      <c r="U448" s="724"/>
      <c r="V448" s="725"/>
      <c r="W448" s="293"/>
      <c r="X448" s="723"/>
      <c r="Y448" s="724"/>
      <c r="Z448" s="724"/>
      <c r="AA448" s="725"/>
      <c r="AB448" s="254"/>
    </row>
    <row r="449" spans="1:29" s="193" customFormat="1" ht="30" customHeight="1" x14ac:dyDescent="0.25">
      <c r="A449" s="479"/>
      <c r="B449" s="254"/>
      <c r="C449" s="254"/>
      <c r="D449" s="723"/>
      <c r="E449" s="724"/>
      <c r="F449" s="724"/>
      <c r="G449" s="725"/>
      <c r="H449" s="293"/>
      <c r="I449" s="723"/>
      <c r="J449" s="724"/>
      <c r="K449" s="724"/>
      <c r="L449" s="725"/>
      <c r="M449" s="293"/>
      <c r="N449" s="337"/>
      <c r="O449" s="337"/>
      <c r="P449" s="337"/>
      <c r="Q449" s="337"/>
      <c r="R449" s="308"/>
      <c r="S449" s="723"/>
      <c r="T449" s="724"/>
      <c r="U449" s="724"/>
      <c r="V449" s="725"/>
      <c r="W449" s="293"/>
      <c r="X449" s="723"/>
      <c r="Y449" s="724"/>
      <c r="Z449" s="724"/>
      <c r="AA449" s="725"/>
      <c r="AB449" s="254"/>
      <c r="AC449" s="405"/>
    </row>
    <row r="450" spans="1:29" ht="12.75" customHeight="1" x14ac:dyDescent="0.25">
      <c r="A450" s="476"/>
      <c r="B450" s="254"/>
      <c r="C450" s="254"/>
      <c r="D450" s="773"/>
      <c r="E450" s="774"/>
      <c r="F450" s="774"/>
      <c r="G450" s="775"/>
      <c r="H450" s="293"/>
      <c r="I450" s="773"/>
      <c r="J450" s="774"/>
      <c r="K450" s="774"/>
      <c r="L450" s="775"/>
      <c r="M450" s="293"/>
      <c r="N450" s="293"/>
      <c r="O450" s="293"/>
      <c r="P450" s="293"/>
      <c r="Q450" s="293"/>
      <c r="R450" s="293"/>
      <c r="S450" s="773"/>
      <c r="T450" s="774"/>
      <c r="U450" s="774"/>
      <c r="V450" s="775"/>
      <c r="W450" s="293"/>
      <c r="X450" s="773"/>
      <c r="Y450" s="774"/>
      <c r="Z450" s="774"/>
      <c r="AA450" s="775"/>
      <c r="AB450" s="254"/>
    </row>
    <row r="451" spans="1:29" ht="12.75" customHeight="1" x14ac:dyDescent="0.25">
      <c r="A451" s="476"/>
      <c r="B451" s="254"/>
      <c r="C451" s="254"/>
      <c r="D451" s="790" t="s">
        <v>200</v>
      </c>
      <c r="E451" s="791"/>
      <c r="F451" s="791"/>
      <c r="G451" s="792"/>
      <c r="H451" s="293"/>
      <c r="I451" s="790" t="s">
        <v>201</v>
      </c>
      <c r="J451" s="791"/>
      <c r="K451" s="791"/>
      <c r="L451" s="792"/>
      <c r="M451" s="293"/>
      <c r="N451" s="293"/>
      <c r="O451" s="293"/>
      <c r="P451" s="293"/>
      <c r="Q451" s="293"/>
      <c r="R451" s="293"/>
      <c r="S451" s="790" t="s">
        <v>202</v>
      </c>
      <c r="T451" s="791"/>
      <c r="U451" s="791"/>
      <c r="V451" s="792"/>
      <c r="W451" s="293"/>
      <c r="X451" s="790" t="s">
        <v>203</v>
      </c>
      <c r="Y451" s="791"/>
      <c r="Z451" s="791"/>
      <c r="AA451" s="792"/>
      <c r="AB451" s="254"/>
    </row>
    <row r="452" spans="1:29" ht="27" customHeight="1" x14ac:dyDescent="0.25">
      <c r="A452" s="476"/>
      <c r="B452" s="262"/>
      <c r="C452" s="262"/>
      <c r="D452" s="737" t="s">
        <v>701</v>
      </c>
      <c r="E452" s="738"/>
      <c r="F452" s="738"/>
      <c r="G452" s="767"/>
      <c r="H452" s="308"/>
      <c r="I452" s="737" t="s">
        <v>702</v>
      </c>
      <c r="J452" s="738"/>
      <c r="K452" s="738"/>
      <c r="L452" s="767"/>
      <c r="M452" s="308"/>
      <c r="N452" s="293"/>
      <c r="O452" s="293"/>
      <c r="P452" s="293"/>
      <c r="Q452" s="293"/>
      <c r="R452" s="293"/>
      <c r="S452" s="737" t="s">
        <v>703</v>
      </c>
      <c r="T452" s="738"/>
      <c r="U452" s="739"/>
      <c r="V452" s="740"/>
      <c r="W452" s="308"/>
      <c r="X452" s="737" t="s">
        <v>704</v>
      </c>
      <c r="Y452" s="738"/>
      <c r="Z452" s="738"/>
      <c r="AA452" s="767"/>
      <c r="AB452" s="262"/>
    </row>
    <row r="453" spans="1:29" ht="16.2" customHeight="1" x14ac:dyDescent="0.25">
      <c r="A453" s="476"/>
      <c r="B453" s="254"/>
      <c r="C453" s="254"/>
      <c r="D453" s="779">
        <v>10.5</v>
      </c>
      <c r="E453" s="780"/>
      <c r="F453" s="781">
        <v>4</v>
      </c>
      <c r="G453" s="782"/>
      <c r="H453" s="293"/>
      <c r="I453" s="783">
        <v>8.5</v>
      </c>
      <c r="J453" s="784"/>
      <c r="K453" s="781">
        <v>0</v>
      </c>
      <c r="L453" s="782"/>
      <c r="M453" s="293"/>
      <c r="N453" s="293"/>
      <c r="O453" s="293"/>
      <c r="P453" s="293"/>
      <c r="Q453" s="293"/>
      <c r="R453" s="293"/>
      <c r="S453" s="779">
        <v>25</v>
      </c>
      <c r="T453" s="785"/>
      <c r="U453" s="781">
        <v>0</v>
      </c>
      <c r="V453" s="782"/>
      <c r="W453" s="293"/>
      <c r="X453" s="779">
        <v>18.25</v>
      </c>
      <c r="Y453" s="780"/>
      <c r="Z453" s="781">
        <v>0</v>
      </c>
      <c r="AA453" s="782"/>
      <c r="AB453" s="254"/>
    </row>
    <row r="454" spans="1:29" s="500" customFormat="1" ht="16.2" customHeight="1" x14ac:dyDescent="0.25">
      <c r="A454" s="496"/>
      <c r="B454" s="497"/>
      <c r="C454" s="497"/>
      <c r="D454" s="637">
        <f>D453*G454</f>
        <v>42</v>
      </c>
      <c r="E454" s="574"/>
      <c r="F454" s="575" t="s">
        <v>295</v>
      </c>
      <c r="G454" s="576">
        <v>4</v>
      </c>
      <c r="H454" s="577"/>
      <c r="I454" s="637">
        <f>I453*L454</f>
        <v>34</v>
      </c>
      <c r="J454" s="574"/>
      <c r="K454" s="575" t="s">
        <v>295</v>
      </c>
      <c r="L454" s="576">
        <v>4</v>
      </c>
      <c r="M454" s="577"/>
      <c r="N454" s="577"/>
      <c r="O454" s="577"/>
      <c r="P454" s="577"/>
      <c r="Q454" s="577"/>
      <c r="R454" s="577"/>
      <c r="S454" s="637">
        <f>S453*V454</f>
        <v>50</v>
      </c>
      <c r="T454" s="574"/>
      <c r="U454" s="575" t="s">
        <v>295</v>
      </c>
      <c r="V454" s="576">
        <v>2</v>
      </c>
      <c r="W454" s="577"/>
      <c r="X454" s="637">
        <f>X453*AA454</f>
        <v>36.5</v>
      </c>
      <c r="Y454" s="574"/>
      <c r="Z454" s="575" t="s">
        <v>295</v>
      </c>
      <c r="AA454" s="576">
        <v>2</v>
      </c>
      <c r="AB454" s="497"/>
      <c r="AC454" s="499"/>
    </row>
    <row r="455" spans="1:29" ht="27" customHeight="1" thickBot="1" x14ac:dyDescent="0.3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 x14ac:dyDescent="0.4">
      <c r="A456" s="492"/>
      <c r="B456" s="279"/>
      <c r="C456" s="279"/>
      <c r="D456" s="848" t="s">
        <v>171</v>
      </c>
      <c r="E456" s="848"/>
      <c r="F456" s="848"/>
      <c r="G456" s="848"/>
      <c r="H456" s="848"/>
      <c r="I456" s="848"/>
      <c r="J456" s="848"/>
      <c r="K456" s="848"/>
      <c r="L456" s="848"/>
      <c r="M456" s="848"/>
      <c r="N456" s="848"/>
      <c r="O456" s="848"/>
      <c r="P456" s="848"/>
      <c r="Q456" s="848"/>
      <c r="R456" s="848"/>
      <c r="S456" s="848"/>
      <c r="T456" s="848"/>
      <c r="U456" s="848"/>
      <c r="V456" s="848"/>
      <c r="W456" s="848"/>
      <c r="X456" s="848"/>
      <c r="Y456" s="848"/>
      <c r="Z456" s="848"/>
      <c r="AA456" s="848"/>
      <c r="AB456" s="279"/>
      <c r="AC456" s="439"/>
    </row>
    <row r="457" spans="1:29" s="202" customFormat="1" ht="27" customHeight="1" x14ac:dyDescent="0.4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 x14ac:dyDescent="0.25">
      <c r="A458" s="476"/>
      <c r="B458" s="254"/>
      <c r="C458" s="254"/>
      <c r="D458" s="743"/>
      <c r="E458" s="744"/>
      <c r="F458" s="744"/>
      <c r="G458" s="745"/>
      <c r="H458" s="293"/>
      <c r="I458" s="793"/>
      <c r="J458" s="794"/>
      <c r="K458" s="794"/>
      <c r="L458" s="795"/>
      <c r="M458" s="293"/>
      <c r="N458" s="743"/>
      <c r="O458" s="744"/>
      <c r="P458" s="744"/>
      <c r="Q458" s="745"/>
      <c r="R458" s="293"/>
      <c r="S458" s="743"/>
      <c r="T458" s="744"/>
      <c r="U458" s="744"/>
      <c r="V458" s="745"/>
      <c r="W458" s="293"/>
      <c r="X458" s="743"/>
      <c r="Y458" s="744"/>
      <c r="Z458" s="744"/>
      <c r="AA458" s="745"/>
      <c r="AB458" s="254"/>
    </row>
    <row r="459" spans="1:29" ht="13.8" x14ac:dyDescent="0.25">
      <c r="A459" s="476"/>
      <c r="B459" s="254"/>
      <c r="C459" s="254"/>
      <c r="D459" s="705"/>
      <c r="E459" s="706"/>
      <c r="F459" s="706"/>
      <c r="G459" s="707"/>
      <c r="H459" s="293"/>
      <c r="I459" s="796"/>
      <c r="J459" s="797"/>
      <c r="K459" s="797"/>
      <c r="L459" s="798"/>
      <c r="M459" s="293"/>
      <c r="N459" s="705"/>
      <c r="O459" s="706"/>
      <c r="P459" s="706"/>
      <c r="Q459" s="707"/>
      <c r="R459" s="293"/>
      <c r="S459" s="705"/>
      <c r="T459" s="706"/>
      <c r="U459" s="706"/>
      <c r="V459" s="707"/>
      <c r="W459" s="293"/>
      <c r="X459" s="705"/>
      <c r="Y459" s="706"/>
      <c r="Z459" s="706"/>
      <c r="AA459" s="707"/>
      <c r="AB459" s="254"/>
    </row>
    <row r="460" spans="1:29" ht="13.8" x14ac:dyDescent="0.25">
      <c r="A460" s="476"/>
      <c r="B460" s="254"/>
      <c r="C460" s="254"/>
      <c r="D460" s="705"/>
      <c r="E460" s="706"/>
      <c r="F460" s="706"/>
      <c r="G460" s="707"/>
      <c r="H460" s="293"/>
      <c r="I460" s="796"/>
      <c r="J460" s="797"/>
      <c r="K460" s="797"/>
      <c r="L460" s="798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3.8" x14ac:dyDescent="0.25">
      <c r="A461" s="476"/>
      <c r="B461" s="254"/>
      <c r="C461" s="254"/>
      <c r="D461" s="705"/>
      <c r="E461" s="706"/>
      <c r="F461" s="706"/>
      <c r="G461" s="707"/>
      <c r="H461" s="293"/>
      <c r="I461" s="796"/>
      <c r="J461" s="797"/>
      <c r="K461" s="797"/>
      <c r="L461" s="798"/>
      <c r="M461" s="293"/>
      <c r="N461" s="705"/>
      <c r="O461" s="706"/>
      <c r="P461" s="706"/>
      <c r="Q461" s="707"/>
      <c r="R461" s="293"/>
      <c r="S461" s="705"/>
      <c r="T461" s="706"/>
      <c r="U461" s="706"/>
      <c r="V461" s="707"/>
      <c r="W461" s="293"/>
      <c r="X461" s="705"/>
      <c r="Y461" s="706"/>
      <c r="Z461" s="706"/>
      <c r="AA461" s="707"/>
      <c r="AB461" s="254"/>
    </row>
    <row r="462" spans="1:29" ht="13.8" x14ac:dyDescent="0.25">
      <c r="A462" s="476"/>
      <c r="B462" s="254"/>
      <c r="C462" s="254"/>
      <c r="D462" s="705"/>
      <c r="E462" s="706"/>
      <c r="F462" s="706"/>
      <c r="G462" s="707"/>
      <c r="H462" s="293"/>
      <c r="I462" s="796"/>
      <c r="J462" s="797"/>
      <c r="K462" s="797"/>
      <c r="L462" s="798"/>
      <c r="M462" s="293"/>
      <c r="N462" s="705"/>
      <c r="O462" s="706"/>
      <c r="P462" s="706"/>
      <c r="Q462" s="707"/>
      <c r="R462" s="293"/>
      <c r="S462" s="705"/>
      <c r="T462" s="706"/>
      <c r="U462" s="706"/>
      <c r="V462" s="707"/>
      <c r="W462" s="293"/>
      <c r="X462" s="705"/>
      <c r="Y462" s="706"/>
      <c r="Z462" s="706"/>
      <c r="AA462" s="707"/>
      <c r="AB462" s="254"/>
    </row>
    <row r="463" spans="1:29" ht="13.8" x14ac:dyDescent="0.25">
      <c r="A463" s="476"/>
      <c r="B463" s="254"/>
      <c r="C463" s="254"/>
      <c r="D463" s="708"/>
      <c r="E463" s="709"/>
      <c r="F463" s="709"/>
      <c r="G463" s="710"/>
      <c r="H463" s="293"/>
      <c r="I463" s="799"/>
      <c r="J463" s="800"/>
      <c r="K463" s="800"/>
      <c r="L463" s="801"/>
      <c r="M463" s="293"/>
      <c r="N463" s="708"/>
      <c r="O463" s="709"/>
      <c r="P463" s="709"/>
      <c r="Q463" s="710"/>
      <c r="R463" s="293"/>
      <c r="S463" s="708"/>
      <c r="T463" s="709"/>
      <c r="U463" s="709"/>
      <c r="V463" s="710"/>
      <c r="W463" s="293"/>
      <c r="X463" s="708"/>
      <c r="Y463" s="709"/>
      <c r="Z463" s="709"/>
      <c r="AA463" s="710"/>
      <c r="AB463" s="254"/>
    </row>
    <row r="464" spans="1:29" ht="13.8" x14ac:dyDescent="0.25">
      <c r="A464" s="476"/>
      <c r="B464" s="254"/>
      <c r="C464" s="254"/>
      <c r="D464" s="790" t="s">
        <v>207</v>
      </c>
      <c r="E464" s="791"/>
      <c r="F464" s="791"/>
      <c r="G464" s="792"/>
      <c r="H464" s="293"/>
      <c r="I464" s="790" t="s">
        <v>206</v>
      </c>
      <c r="J464" s="791"/>
      <c r="K464" s="791"/>
      <c r="L464" s="792"/>
      <c r="M464" s="293"/>
      <c r="N464" s="790" t="s">
        <v>205</v>
      </c>
      <c r="O464" s="791"/>
      <c r="P464" s="791"/>
      <c r="Q464" s="792"/>
      <c r="R464" s="293"/>
      <c r="S464" s="790" t="s">
        <v>204</v>
      </c>
      <c r="T464" s="791"/>
      <c r="U464" s="791"/>
      <c r="V464" s="792"/>
      <c r="W464" s="293"/>
      <c r="X464" s="790" t="s">
        <v>317</v>
      </c>
      <c r="Y464" s="791"/>
      <c r="Z464" s="791"/>
      <c r="AA464" s="792"/>
      <c r="AB464" s="254"/>
    </row>
    <row r="465" spans="1:29" s="193" customFormat="1" ht="27" customHeight="1" x14ac:dyDescent="0.25">
      <c r="A465" s="479"/>
      <c r="B465" s="262"/>
      <c r="C465" s="262"/>
      <c r="D465" s="737" t="s">
        <v>705</v>
      </c>
      <c r="E465" s="738"/>
      <c r="F465" s="739"/>
      <c r="G465" s="740"/>
      <c r="H465" s="308"/>
      <c r="I465" s="737" t="s">
        <v>706</v>
      </c>
      <c r="J465" s="738"/>
      <c r="K465" s="739"/>
      <c r="L465" s="740"/>
      <c r="M465" s="308"/>
      <c r="N465" s="737" t="s">
        <v>707</v>
      </c>
      <c r="O465" s="738"/>
      <c r="P465" s="739"/>
      <c r="Q465" s="740"/>
      <c r="R465" s="308"/>
      <c r="S465" s="737" t="s">
        <v>708</v>
      </c>
      <c r="T465" s="738"/>
      <c r="U465" s="739"/>
      <c r="V465" s="740"/>
      <c r="W465" s="308"/>
      <c r="X465" s="737" t="s">
        <v>709</v>
      </c>
      <c r="Y465" s="738"/>
      <c r="Z465" s="739"/>
      <c r="AA465" s="740"/>
      <c r="AB465" s="262"/>
      <c r="AC465" s="405"/>
    </row>
    <row r="466" spans="1:29" ht="16.2" customHeight="1" x14ac:dyDescent="0.25">
      <c r="A466" s="476"/>
      <c r="B466" s="254"/>
      <c r="C466" s="254"/>
      <c r="D466" s="735">
        <v>1500</v>
      </c>
      <c r="E466" s="736"/>
      <c r="F466" s="788">
        <v>0</v>
      </c>
      <c r="G466" s="789"/>
      <c r="H466" s="293"/>
      <c r="I466" s="735">
        <v>1500</v>
      </c>
      <c r="J466" s="736"/>
      <c r="K466" s="788">
        <v>0</v>
      </c>
      <c r="L466" s="789"/>
      <c r="M466" s="293"/>
      <c r="N466" s="735">
        <v>1500</v>
      </c>
      <c r="O466" s="736"/>
      <c r="P466" s="788">
        <v>0</v>
      </c>
      <c r="Q466" s="789"/>
      <c r="R466" s="293"/>
      <c r="S466" s="735">
        <v>1500</v>
      </c>
      <c r="T466" s="736"/>
      <c r="U466" s="788">
        <v>0</v>
      </c>
      <c r="V466" s="789"/>
      <c r="W466" s="293"/>
      <c r="X466" s="735">
        <v>500</v>
      </c>
      <c r="Y466" s="736"/>
      <c r="Z466" s="788">
        <v>0</v>
      </c>
      <c r="AA466" s="789"/>
      <c r="AB466" s="254"/>
    </row>
    <row r="467" spans="1:29" ht="13.8" x14ac:dyDescent="0.25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3.8" x14ac:dyDescent="0.25">
      <c r="A468" s="476"/>
      <c r="B468" s="254"/>
      <c r="C468" s="254"/>
      <c r="D468" s="743"/>
      <c r="E468" s="744"/>
      <c r="F468" s="744"/>
      <c r="G468" s="745"/>
      <c r="H468" s="293"/>
      <c r="I468" s="743"/>
      <c r="J468" s="744"/>
      <c r="K468" s="744"/>
      <c r="L468" s="745"/>
      <c r="M468" s="293"/>
      <c r="N468" s="743"/>
      <c r="O468" s="744"/>
      <c r="P468" s="744"/>
      <c r="Q468" s="745"/>
      <c r="R468" s="293"/>
      <c r="S468" s="718"/>
      <c r="T468" s="718"/>
      <c r="U468" s="718"/>
      <c r="V468" s="718"/>
      <c r="W468" s="293"/>
      <c r="X468" s="718"/>
      <c r="Y468" s="718"/>
      <c r="Z468" s="718"/>
      <c r="AA468" s="718"/>
      <c r="AB468" s="254"/>
    </row>
    <row r="469" spans="1:29" ht="13.8" x14ac:dyDescent="0.25">
      <c r="A469" s="476"/>
      <c r="B469" s="254"/>
      <c r="C469" s="254"/>
      <c r="D469" s="977"/>
      <c r="E469" s="978"/>
      <c r="F469" s="978"/>
      <c r="G469" s="979"/>
      <c r="H469" s="293"/>
      <c r="I469" s="705"/>
      <c r="J469" s="706"/>
      <c r="K469" s="706"/>
      <c r="L469" s="707"/>
      <c r="M469" s="293"/>
      <c r="N469" s="705"/>
      <c r="O469" s="706"/>
      <c r="P469" s="706"/>
      <c r="Q469" s="707"/>
      <c r="R469" s="293"/>
      <c r="S469" s="718"/>
      <c r="T469" s="718"/>
      <c r="U469" s="718"/>
      <c r="V469" s="718"/>
      <c r="W469" s="293"/>
      <c r="X469" s="973"/>
      <c r="Y469" s="973"/>
      <c r="Z469" s="973"/>
      <c r="AA469" s="973"/>
      <c r="AB469" s="254"/>
    </row>
    <row r="470" spans="1:29" ht="13.8" x14ac:dyDescent="0.25">
      <c r="A470" s="476"/>
      <c r="B470" s="254"/>
      <c r="C470" s="254"/>
      <c r="D470" s="977"/>
      <c r="E470" s="978"/>
      <c r="F470" s="978"/>
      <c r="G470" s="979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73"/>
      <c r="Y470" s="973"/>
      <c r="Z470" s="973"/>
      <c r="AA470" s="973"/>
      <c r="AB470" s="254"/>
    </row>
    <row r="471" spans="1:29" ht="13.8" x14ac:dyDescent="0.25">
      <c r="A471" s="476"/>
      <c r="B471" s="254"/>
      <c r="C471" s="254"/>
      <c r="D471" s="977"/>
      <c r="E471" s="978"/>
      <c r="F471" s="978"/>
      <c r="G471" s="979"/>
      <c r="H471" s="293"/>
      <c r="I471" s="705"/>
      <c r="J471" s="706"/>
      <c r="K471" s="706"/>
      <c r="L471" s="707"/>
      <c r="M471" s="293"/>
      <c r="N471" s="705"/>
      <c r="O471" s="706"/>
      <c r="P471" s="706"/>
      <c r="Q471" s="707"/>
      <c r="R471" s="293"/>
      <c r="S471" s="718"/>
      <c r="T471" s="718"/>
      <c r="U471" s="718"/>
      <c r="V471" s="718"/>
      <c r="W471" s="293"/>
      <c r="X471" s="973"/>
      <c r="Y471" s="973"/>
      <c r="Z471" s="973"/>
      <c r="AA471" s="973"/>
      <c r="AB471" s="254"/>
    </row>
    <row r="472" spans="1:29" ht="13.8" x14ac:dyDescent="0.25">
      <c r="A472" s="476"/>
      <c r="B472" s="254"/>
      <c r="C472" s="254"/>
      <c r="D472" s="977"/>
      <c r="E472" s="978"/>
      <c r="F472" s="978"/>
      <c r="G472" s="979"/>
      <c r="H472" s="293"/>
      <c r="I472" s="705"/>
      <c r="J472" s="706"/>
      <c r="K472" s="706"/>
      <c r="L472" s="707"/>
      <c r="M472" s="293"/>
      <c r="N472" s="705"/>
      <c r="O472" s="706"/>
      <c r="P472" s="706"/>
      <c r="Q472" s="707"/>
      <c r="R472" s="293"/>
      <c r="S472" s="718"/>
      <c r="T472" s="718"/>
      <c r="U472" s="718"/>
      <c r="V472" s="718"/>
      <c r="W472" s="293"/>
      <c r="X472" s="973"/>
      <c r="Y472" s="973"/>
      <c r="Z472" s="973"/>
      <c r="AA472" s="973"/>
      <c r="AB472" s="254"/>
    </row>
    <row r="473" spans="1:29" s="204" customFormat="1" ht="13.8" x14ac:dyDescent="0.25">
      <c r="A473" s="491"/>
      <c r="B473" s="254"/>
      <c r="C473" s="254"/>
      <c r="D473" s="980"/>
      <c r="E473" s="981"/>
      <c r="F473" s="981"/>
      <c r="G473" s="982"/>
      <c r="H473" s="293"/>
      <c r="I473" s="708"/>
      <c r="J473" s="709"/>
      <c r="K473" s="709"/>
      <c r="L473" s="710"/>
      <c r="M473" s="293"/>
      <c r="N473" s="705"/>
      <c r="O473" s="706"/>
      <c r="P473" s="706"/>
      <c r="Q473" s="707"/>
      <c r="R473" s="293"/>
      <c r="S473" s="718"/>
      <c r="T473" s="718"/>
      <c r="U473" s="718"/>
      <c r="V473" s="718"/>
      <c r="W473" s="293"/>
      <c r="X473" s="973"/>
      <c r="Y473" s="973"/>
      <c r="Z473" s="973"/>
      <c r="AA473" s="973"/>
      <c r="AB473" s="254"/>
      <c r="AC473" s="438"/>
    </row>
    <row r="474" spans="1:29" ht="13.8" x14ac:dyDescent="0.25">
      <c r="A474" s="476"/>
      <c r="B474" s="254"/>
      <c r="C474" s="254"/>
      <c r="D474" s="790" t="s">
        <v>208</v>
      </c>
      <c r="E474" s="791"/>
      <c r="F474" s="791"/>
      <c r="G474" s="792"/>
      <c r="H474" s="293"/>
      <c r="I474" s="790" t="s">
        <v>481</v>
      </c>
      <c r="J474" s="791"/>
      <c r="K474" s="791"/>
      <c r="L474" s="792"/>
      <c r="M474" s="293"/>
      <c r="N474" s="1114" t="s">
        <v>480</v>
      </c>
      <c r="O474" s="859"/>
      <c r="P474" s="859"/>
      <c r="Q474" s="1115"/>
      <c r="R474" s="293"/>
      <c r="S474" s="778"/>
      <c r="T474" s="778"/>
      <c r="U474" s="778"/>
      <c r="V474" s="778"/>
      <c r="W474" s="293"/>
      <c r="X474" s="778"/>
      <c r="Y474" s="778"/>
      <c r="Z474" s="778"/>
      <c r="AA474" s="778"/>
      <c r="AB474" s="254"/>
    </row>
    <row r="475" spans="1:29" s="193" customFormat="1" ht="27" customHeight="1" x14ac:dyDescent="0.25">
      <c r="A475" s="479"/>
      <c r="B475" s="262"/>
      <c r="C475" s="262"/>
      <c r="D475" s="983" t="s">
        <v>710</v>
      </c>
      <c r="E475" s="984"/>
      <c r="F475" s="984"/>
      <c r="G475" s="985"/>
      <c r="H475" s="308"/>
      <c r="I475" s="1125" t="s">
        <v>496</v>
      </c>
      <c r="J475" s="1126"/>
      <c r="K475" s="1126"/>
      <c r="L475" s="1127"/>
      <c r="M475" s="308"/>
      <c r="N475" s="970" t="s">
        <v>497</v>
      </c>
      <c r="O475" s="971"/>
      <c r="P475" s="971"/>
      <c r="Q475" s="972"/>
      <c r="R475" s="308"/>
      <c r="S475" s="939"/>
      <c r="T475" s="939"/>
      <c r="U475" s="939"/>
      <c r="V475" s="939"/>
      <c r="W475" s="308"/>
      <c r="X475" s="939"/>
      <c r="Y475" s="939"/>
      <c r="Z475" s="939"/>
      <c r="AA475" s="939"/>
      <c r="AB475" s="262"/>
      <c r="AC475" s="405"/>
    </row>
    <row r="476" spans="1:29" ht="16.2" customHeight="1" x14ac:dyDescent="0.25">
      <c r="A476" s="476"/>
      <c r="B476" s="254"/>
      <c r="C476" s="254"/>
      <c r="D476" s="1124">
        <v>1950</v>
      </c>
      <c r="E476" s="1124"/>
      <c r="F476" s="1123">
        <v>0</v>
      </c>
      <c r="G476" s="1123"/>
      <c r="H476" s="293"/>
      <c r="I476" s="1124">
        <v>2600</v>
      </c>
      <c r="J476" s="1124"/>
      <c r="K476" s="1123">
        <v>0</v>
      </c>
      <c r="L476" s="1123"/>
      <c r="M476" s="293"/>
      <c r="N476" s="880" t="s">
        <v>479</v>
      </c>
      <c r="O476" s="880"/>
      <c r="P476" s="1123">
        <v>0</v>
      </c>
      <c r="Q476" s="1123"/>
      <c r="R476" s="293"/>
      <c r="S476" s="915"/>
      <c r="T476" s="915"/>
      <c r="U476" s="862"/>
      <c r="V476" s="862"/>
      <c r="W476" s="293"/>
      <c r="X476" s="915"/>
      <c r="Y476" s="915"/>
      <c r="Z476" s="862"/>
      <c r="AA476" s="862"/>
      <c r="AB476" s="254"/>
    </row>
    <row r="477" spans="1:29" ht="13.8" x14ac:dyDescent="0.25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 x14ac:dyDescent="0.25">
      <c r="A478" s="476"/>
      <c r="B478" s="254"/>
      <c r="C478" s="254"/>
      <c r="D478" s="743"/>
      <c r="E478" s="744"/>
      <c r="F478" s="744"/>
      <c r="G478" s="745"/>
      <c r="H478" s="293"/>
      <c r="I478" s="743"/>
      <c r="J478" s="744"/>
      <c r="K478" s="744"/>
      <c r="L478" s="745"/>
      <c r="M478" s="293"/>
      <c r="N478" s="720"/>
      <c r="O478" s="721"/>
      <c r="P478" s="721"/>
      <c r="Q478" s="722"/>
      <c r="R478" s="293"/>
      <c r="S478" s="720"/>
      <c r="T478" s="721"/>
      <c r="U478" s="721"/>
      <c r="V478" s="722"/>
      <c r="W478" s="293"/>
      <c r="X478" s="720"/>
      <c r="Y478" s="721"/>
      <c r="Z478" s="721"/>
      <c r="AA478" s="722"/>
      <c r="AB478" s="254"/>
    </row>
    <row r="479" spans="1:29" ht="13.8" x14ac:dyDescent="0.25">
      <c r="A479" s="476"/>
      <c r="B479" s="254"/>
      <c r="C479" s="254"/>
      <c r="D479" s="977"/>
      <c r="E479" s="978"/>
      <c r="F479" s="978"/>
      <c r="G479" s="979"/>
      <c r="H479" s="293"/>
      <c r="I479" s="977"/>
      <c r="J479" s="978"/>
      <c r="K479" s="978"/>
      <c r="L479" s="979"/>
      <c r="M479" s="293"/>
      <c r="N479" s="1051"/>
      <c r="O479" s="1052"/>
      <c r="P479" s="1052"/>
      <c r="Q479" s="1053"/>
      <c r="R479" s="293"/>
      <c r="S479" s="1051"/>
      <c r="T479" s="1052"/>
      <c r="U479" s="1052"/>
      <c r="V479" s="1053"/>
      <c r="W479" s="293"/>
      <c r="X479" s="1051"/>
      <c r="Y479" s="1052"/>
      <c r="Z479" s="1052"/>
      <c r="AA479" s="1053"/>
      <c r="AB479" s="254"/>
    </row>
    <row r="480" spans="1:29" ht="13.8" x14ac:dyDescent="0.25">
      <c r="A480" s="476"/>
      <c r="B480" s="254"/>
      <c r="C480" s="254"/>
      <c r="D480" s="977"/>
      <c r="E480" s="978"/>
      <c r="F480" s="978"/>
      <c r="G480" s="979"/>
      <c r="H480" s="293"/>
      <c r="I480" s="977"/>
      <c r="J480" s="978"/>
      <c r="K480" s="978"/>
      <c r="L480" s="979"/>
      <c r="M480" s="293"/>
      <c r="N480" s="1051"/>
      <c r="O480" s="1052"/>
      <c r="P480" s="1052"/>
      <c r="Q480" s="1053"/>
      <c r="R480" s="293"/>
      <c r="S480" s="1051"/>
      <c r="T480" s="1052"/>
      <c r="U480" s="1052"/>
      <c r="V480" s="1053"/>
      <c r="W480" s="293"/>
      <c r="X480" s="1051"/>
      <c r="Y480" s="1052"/>
      <c r="Z480" s="1052"/>
      <c r="AA480" s="1053"/>
      <c r="AB480" s="254"/>
    </row>
    <row r="481" spans="1:29" ht="13.8" x14ac:dyDescent="0.25">
      <c r="A481" s="476"/>
      <c r="B481" s="254"/>
      <c r="C481" s="254"/>
      <c r="D481" s="977"/>
      <c r="E481" s="978"/>
      <c r="F481" s="978"/>
      <c r="G481" s="979"/>
      <c r="H481" s="293"/>
      <c r="I481" s="977"/>
      <c r="J481" s="978"/>
      <c r="K481" s="978"/>
      <c r="L481" s="979"/>
      <c r="M481" s="293"/>
      <c r="N481" s="1051"/>
      <c r="O481" s="1052"/>
      <c r="P481" s="1052"/>
      <c r="Q481" s="1053"/>
      <c r="R481" s="293"/>
      <c r="S481" s="1051"/>
      <c r="T481" s="1052"/>
      <c r="U481" s="1052"/>
      <c r="V481" s="1053"/>
      <c r="W481" s="293"/>
      <c r="X481" s="1051"/>
      <c r="Y481" s="1052"/>
      <c r="Z481" s="1052"/>
      <c r="AA481" s="1053"/>
      <c r="AB481" s="254"/>
    </row>
    <row r="482" spans="1:29" ht="13.8" x14ac:dyDescent="0.25">
      <c r="A482" s="476"/>
      <c r="B482" s="254"/>
      <c r="C482" s="254"/>
      <c r="D482" s="977"/>
      <c r="E482" s="978"/>
      <c r="F482" s="978"/>
      <c r="G482" s="979"/>
      <c r="H482" s="293"/>
      <c r="I482" s="977"/>
      <c r="J482" s="978"/>
      <c r="K482" s="978"/>
      <c r="L482" s="979"/>
      <c r="M482" s="293"/>
      <c r="N482" s="1051"/>
      <c r="O482" s="1052"/>
      <c r="P482" s="1052"/>
      <c r="Q482" s="1053"/>
      <c r="R482" s="293"/>
      <c r="S482" s="1051"/>
      <c r="T482" s="1052"/>
      <c r="U482" s="1052"/>
      <c r="V482" s="1053"/>
      <c r="W482" s="293"/>
      <c r="X482" s="1051"/>
      <c r="Y482" s="1052"/>
      <c r="Z482" s="1052"/>
      <c r="AA482" s="1053"/>
      <c r="AB482" s="254"/>
    </row>
    <row r="483" spans="1:29" ht="13.8" x14ac:dyDescent="0.25">
      <c r="A483" s="476"/>
      <c r="B483" s="254"/>
      <c r="C483" s="254"/>
      <c r="D483" s="980"/>
      <c r="E483" s="981"/>
      <c r="F483" s="981"/>
      <c r="G483" s="982"/>
      <c r="H483" s="293"/>
      <c r="I483" s="980"/>
      <c r="J483" s="981"/>
      <c r="K483" s="981"/>
      <c r="L483" s="982"/>
      <c r="M483" s="293"/>
      <c r="N483" s="1054"/>
      <c r="O483" s="1055"/>
      <c r="P483" s="1055"/>
      <c r="Q483" s="1056"/>
      <c r="R483" s="293"/>
      <c r="S483" s="1054"/>
      <c r="T483" s="1055"/>
      <c r="U483" s="1055"/>
      <c r="V483" s="1056"/>
      <c r="W483" s="293"/>
      <c r="X483" s="1054"/>
      <c r="Y483" s="1055"/>
      <c r="Z483" s="1055"/>
      <c r="AA483" s="1056"/>
      <c r="AB483" s="254"/>
    </row>
    <row r="484" spans="1:29" ht="13.8" x14ac:dyDescent="0.25">
      <c r="A484" s="476"/>
      <c r="B484" s="254"/>
      <c r="C484" s="254"/>
      <c r="D484" s="790" t="s">
        <v>211</v>
      </c>
      <c r="E484" s="791"/>
      <c r="F484" s="791"/>
      <c r="G484" s="792"/>
      <c r="H484" s="293"/>
      <c r="I484" s="790" t="s">
        <v>212</v>
      </c>
      <c r="J484" s="791"/>
      <c r="K484" s="791"/>
      <c r="L484" s="792"/>
      <c r="M484" s="293"/>
      <c r="N484" s="790" t="s">
        <v>213</v>
      </c>
      <c r="O484" s="791"/>
      <c r="P484" s="791"/>
      <c r="Q484" s="792"/>
      <c r="R484" s="293"/>
      <c r="S484" s="790" t="s">
        <v>455</v>
      </c>
      <c r="T484" s="791"/>
      <c r="U484" s="791"/>
      <c r="V484" s="792"/>
      <c r="W484" s="293"/>
      <c r="X484" s="790" t="s">
        <v>454</v>
      </c>
      <c r="Y484" s="791"/>
      <c r="Z484" s="791"/>
      <c r="AA484" s="792"/>
      <c r="AB484" s="254"/>
    </row>
    <row r="485" spans="1:29" s="193" customFormat="1" ht="27" customHeight="1" x14ac:dyDescent="0.25">
      <c r="A485" s="479"/>
      <c r="B485" s="262"/>
      <c r="C485" s="262"/>
      <c r="D485" s="737" t="s">
        <v>110</v>
      </c>
      <c r="E485" s="738"/>
      <c r="F485" s="739"/>
      <c r="G485" s="740"/>
      <c r="H485" s="308"/>
      <c r="I485" s="737" t="s">
        <v>713</v>
      </c>
      <c r="J485" s="738"/>
      <c r="K485" s="739"/>
      <c r="L485" s="740"/>
      <c r="M485" s="308"/>
      <c r="N485" s="737" t="s">
        <v>488</v>
      </c>
      <c r="O485" s="738"/>
      <c r="P485" s="739"/>
      <c r="Q485" s="740"/>
      <c r="R485" s="308"/>
      <c r="S485" s="737" t="s">
        <v>714</v>
      </c>
      <c r="T485" s="738"/>
      <c r="U485" s="739"/>
      <c r="V485" s="740"/>
      <c r="W485" s="308"/>
      <c r="X485" s="737" t="s">
        <v>489</v>
      </c>
      <c r="Y485" s="738"/>
      <c r="Z485" s="739"/>
      <c r="AA485" s="740"/>
      <c r="AB485" s="262"/>
      <c r="AC485" s="405"/>
    </row>
    <row r="486" spans="1:29" ht="16.2" customHeight="1" x14ac:dyDescent="0.25">
      <c r="A486" s="476"/>
      <c r="B486" s="254"/>
      <c r="C486" s="254"/>
      <c r="D486" s="1124">
        <v>45</v>
      </c>
      <c r="E486" s="870"/>
      <c r="F486" s="881">
        <v>0</v>
      </c>
      <c r="G486" s="881"/>
      <c r="H486" s="293"/>
      <c r="I486" s="880">
        <v>30</v>
      </c>
      <c r="J486" s="786"/>
      <c r="K486" s="881">
        <v>0</v>
      </c>
      <c r="L486" s="881"/>
      <c r="M486" s="293"/>
      <c r="N486" s="1124">
        <v>30</v>
      </c>
      <c r="O486" s="870"/>
      <c r="P486" s="881">
        <v>0</v>
      </c>
      <c r="Q486" s="881"/>
      <c r="R486" s="293"/>
      <c r="S486" s="1124">
        <v>400</v>
      </c>
      <c r="T486" s="870"/>
      <c r="U486" s="881">
        <v>0</v>
      </c>
      <c r="V486" s="881"/>
      <c r="W486" s="333"/>
      <c r="X486" s="1124">
        <v>40</v>
      </c>
      <c r="Y486" s="870"/>
      <c r="Z486" s="881">
        <v>0</v>
      </c>
      <c r="AA486" s="881"/>
      <c r="AB486" s="254"/>
    </row>
    <row r="487" spans="1:29" ht="13.8" x14ac:dyDescent="0.25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5" customHeight="1" x14ac:dyDescent="0.25">
      <c r="A488" s="476"/>
      <c r="B488" s="254"/>
      <c r="C488" s="254"/>
      <c r="D488" s="743"/>
      <c r="E488" s="744"/>
      <c r="F488" s="744"/>
      <c r="G488" s="745"/>
      <c r="H488" s="293"/>
      <c r="I488" s="743"/>
      <c r="J488" s="744"/>
      <c r="K488" s="744"/>
      <c r="L488" s="745"/>
      <c r="M488" s="293"/>
      <c r="N488" s="743"/>
      <c r="O488" s="744"/>
      <c r="P488" s="744"/>
      <c r="Q488" s="745"/>
      <c r="R488" s="293"/>
      <c r="S488" s="743"/>
      <c r="T488" s="744"/>
      <c r="U488" s="744"/>
      <c r="V488" s="745"/>
      <c r="W488" s="293"/>
      <c r="X488" s="319"/>
      <c r="Y488" s="319"/>
      <c r="Z488" s="320"/>
      <c r="AA488" s="321"/>
      <c r="AB488" s="254"/>
    </row>
    <row r="489" spans="1:29" ht="13.8" x14ac:dyDescent="0.25">
      <c r="A489" s="476"/>
      <c r="B489" s="254"/>
      <c r="C489" s="254"/>
      <c r="D489" s="705"/>
      <c r="E489" s="706"/>
      <c r="F489" s="706"/>
      <c r="G489" s="707"/>
      <c r="H489" s="293"/>
      <c r="I489" s="977"/>
      <c r="J489" s="978"/>
      <c r="K489" s="978"/>
      <c r="L489" s="979"/>
      <c r="M489" s="293"/>
      <c r="N489" s="705"/>
      <c r="O489" s="706"/>
      <c r="P489" s="706"/>
      <c r="Q489" s="707"/>
      <c r="R489" s="293"/>
      <c r="S489" s="705"/>
      <c r="T489" s="706"/>
      <c r="U489" s="706"/>
      <c r="V489" s="707"/>
      <c r="W489" s="293"/>
      <c r="X489" s="319"/>
      <c r="Y489" s="319"/>
      <c r="Z489" s="320"/>
      <c r="AA489" s="321"/>
      <c r="AB489" s="254"/>
    </row>
    <row r="490" spans="1:29" ht="13.8" x14ac:dyDescent="0.25">
      <c r="A490" s="476"/>
      <c r="B490" s="254"/>
      <c r="C490" s="254"/>
      <c r="D490" s="316"/>
      <c r="E490" s="317"/>
      <c r="F490" s="317"/>
      <c r="G490" s="318"/>
      <c r="H490" s="293"/>
      <c r="I490" s="977"/>
      <c r="J490" s="978"/>
      <c r="K490" s="978"/>
      <c r="L490" s="979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3.8" x14ac:dyDescent="0.25">
      <c r="A491" s="476"/>
      <c r="B491" s="254"/>
      <c r="C491" s="254"/>
      <c r="D491" s="705"/>
      <c r="E491" s="706"/>
      <c r="F491" s="706"/>
      <c r="G491" s="707"/>
      <c r="H491" s="293"/>
      <c r="I491" s="977"/>
      <c r="J491" s="978"/>
      <c r="K491" s="978"/>
      <c r="L491" s="979"/>
      <c r="M491" s="293"/>
      <c r="N491" s="705"/>
      <c r="O491" s="706"/>
      <c r="P491" s="706"/>
      <c r="Q491" s="707"/>
      <c r="R491" s="293"/>
      <c r="S491" s="705"/>
      <c r="T491" s="706"/>
      <c r="U491" s="706"/>
      <c r="V491" s="707"/>
      <c r="W491" s="293"/>
      <c r="X491" s="319"/>
      <c r="Y491" s="319"/>
      <c r="Z491" s="320"/>
      <c r="AA491" s="321"/>
      <c r="AB491" s="254"/>
    </row>
    <row r="492" spans="1:29" ht="13.8" x14ac:dyDescent="0.25">
      <c r="A492" s="476"/>
      <c r="B492" s="254"/>
      <c r="C492" s="254"/>
      <c r="D492" s="705"/>
      <c r="E492" s="706"/>
      <c r="F492" s="706"/>
      <c r="G492" s="707"/>
      <c r="H492" s="293"/>
      <c r="I492" s="977"/>
      <c r="J492" s="978"/>
      <c r="K492" s="978"/>
      <c r="L492" s="979"/>
      <c r="M492" s="293"/>
      <c r="N492" s="705"/>
      <c r="O492" s="706"/>
      <c r="P492" s="706"/>
      <c r="Q492" s="707"/>
      <c r="R492" s="293"/>
      <c r="S492" s="705"/>
      <c r="T492" s="706"/>
      <c r="U492" s="706"/>
      <c r="V492" s="707"/>
      <c r="W492" s="293"/>
      <c r="X492" s="319"/>
      <c r="Y492" s="319"/>
      <c r="Z492" s="320"/>
      <c r="AA492" s="321"/>
      <c r="AB492" s="254"/>
    </row>
    <row r="493" spans="1:29" ht="13.8" x14ac:dyDescent="0.25">
      <c r="A493" s="476"/>
      <c r="B493" s="254"/>
      <c r="C493" s="254"/>
      <c r="D493" s="708"/>
      <c r="E493" s="709"/>
      <c r="F493" s="709"/>
      <c r="G493" s="710"/>
      <c r="H493" s="293"/>
      <c r="I493" s="980"/>
      <c r="J493" s="981"/>
      <c r="K493" s="981"/>
      <c r="L493" s="982"/>
      <c r="M493" s="293"/>
      <c r="N493" s="708"/>
      <c r="O493" s="709"/>
      <c r="P493" s="709"/>
      <c r="Q493" s="710"/>
      <c r="R493" s="293"/>
      <c r="S493" s="708"/>
      <c r="T493" s="709"/>
      <c r="U493" s="709"/>
      <c r="V493" s="710"/>
      <c r="W493" s="293"/>
      <c r="X493" s="319"/>
      <c r="Y493" s="319"/>
      <c r="Z493" s="320"/>
      <c r="AA493" s="321"/>
      <c r="AB493" s="254"/>
    </row>
    <row r="494" spans="1:29" ht="13.95" customHeight="1" x14ac:dyDescent="0.25">
      <c r="A494" s="476"/>
      <c r="B494" s="254"/>
      <c r="C494" s="254"/>
      <c r="D494" s="790" t="s">
        <v>210</v>
      </c>
      <c r="E494" s="791"/>
      <c r="F494" s="791"/>
      <c r="G494" s="792"/>
      <c r="H494" s="293"/>
      <c r="I494" s="758" t="s">
        <v>214</v>
      </c>
      <c r="J494" s="759"/>
      <c r="K494" s="759"/>
      <c r="L494" s="760"/>
      <c r="M494" s="293"/>
      <c r="N494" s="858" t="s">
        <v>209</v>
      </c>
      <c r="O494" s="859"/>
      <c r="P494" s="859"/>
      <c r="Q494" s="860"/>
      <c r="R494" s="293"/>
      <c r="S494" s="861" t="s">
        <v>420</v>
      </c>
      <c r="T494" s="861"/>
      <c r="U494" s="861"/>
      <c r="V494" s="861"/>
      <c r="W494" s="293"/>
      <c r="X494" s="319"/>
      <c r="Y494" s="319"/>
      <c r="Z494" s="320"/>
      <c r="AA494" s="321"/>
      <c r="AB494" s="254"/>
    </row>
    <row r="495" spans="1:29" ht="27" customHeight="1" x14ac:dyDescent="0.25">
      <c r="A495" s="476"/>
      <c r="B495" s="254"/>
      <c r="C495" s="254"/>
      <c r="D495" s="737" t="s">
        <v>716</v>
      </c>
      <c r="E495" s="738"/>
      <c r="F495" s="739"/>
      <c r="G495" s="740"/>
      <c r="H495" s="308"/>
      <c r="I495" s="737" t="s">
        <v>715</v>
      </c>
      <c r="J495" s="738"/>
      <c r="K495" s="739"/>
      <c r="L495" s="740"/>
      <c r="M495" s="293"/>
      <c r="N495" s="737" t="s">
        <v>711</v>
      </c>
      <c r="O495" s="738"/>
      <c r="P495" s="739"/>
      <c r="Q495" s="740"/>
      <c r="R495" s="308"/>
      <c r="S495" s="962" t="s">
        <v>712</v>
      </c>
      <c r="T495" s="963"/>
      <c r="U495" s="964"/>
      <c r="V495" s="965"/>
      <c r="W495" s="293"/>
      <c r="X495" s="319"/>
      <c r="Y495" s="319"/>
      <c r="Z495" s="320"/>
      <c r="AA495" s="321"/>
      <c r="AB495" s="254"/>
    </row>
    <row r="496" spans="1:29" ht="16.2" customHeight="1" x14ac:dyDescent="0.25">
      <c r="A496" s="476"/>
      <c r="B496" s="254"/>
      <c r="C496" s="254"/>
      <c r="D496" s="880">
        <v>55</v>
      </c>
      <c r="E496" s="786"/>
      <c r="F496" s="881">
        <v>0</v>
      </c>
      <c r="G496" s="881"/>
      <c r="H496" s="293"/>
      <c r="I496" s="880">
        <v>15</v>
      </c>
      <c r="J496" s="786"/>
      <c r="K496" s="881">
        <v>0</v>
      </c>
      <c r="L496" s="881"/>
      <c r="M496" s="293"/>
      <c r="N496" s="966">
        <v>9</v>
      </c>
      <c r="O496" s="967"/>
      <c r="P496" s="968">
        <v>0</v>
      </c>
      <c r="Q496" s="969"/>
      <c r="R496" s="293"/>
      <c r="S496" s="880">
        <v>34</v>
      </c>
      <c r="T496" s="786"/>
      <c r="U496" s="881">
        <v>0</v>
      </c>
      <c r="V496" s="881"/>
      <c r="W496" s="293"/>
      <c r="X496" s="319"/>
      <c r="Y496" s="319"/>
      <c r="Z496" s="320"/>
      <c r="AA496" s="321"/>
      <c r="AB496" s="254"/>
    </row>
    <row r="497" spans="1:29" ht="27" customHeight="1" thickBot="1" x14ac:dyDescent="0.3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 x14ac:dyDescent="0.25">
      <c r="A498" s="476"/>
      <c r="B498" s="254"/>
      <c r="C498" s="254"/>
      <c r="D498" s="848" t="s">
        <v>526</v>
      </c>
      <c r="E498" s="848"/>
      <c r="F498" s="848"/>
      <c r="G498" s="848"/>
      <c r="H498" s="848"/>
      <c r="I498" s="848"/>
      <c r="J498" s="848"/>
      <c r="K498" s="848"/>
      <c r="L498" s="848"/>
      <c r="M498" s="848"/>
      <c r="N498" s="848"/>
      <c r="O498" s="848"/>
      <c r="P498" s="848"/>
      <c r="Q498" s="848"/>
      <c r="R498" s="848"/>
      <c r="S498" s="848"/>
      <c r="T498" s="848"/>
      <c r="U498" s="848"/>
      <c r="V498" s="848"/>
      <c r="W498" s="848"/>
      <c r="X498" s="848"/>
      <c r="Y498" s="848"/>
      <c r="Z498" s="848"/>
      <c r="AA498" s="848"/>
      <c r="AB498" s="254"/>
    </row>
    <row r="499" spans="1:29" ht="27" customHeight="1" x14ac:dyDescent="0.25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5" customHeight="1" x14ac:dyDescent="0.25">
      <c r="A500" s="476"/>
      <c r="B500" s="254"/>
      <c r="C500" s="254"/>
      <c r="D500" s="743"/>
      <c r="E500" s="744"/>
      <c r="F500" s="744"/>
      <c r="G500" s="745"/>
      <c r="H500" s="293"/>
      <c r="I500" s="793"/>
      <c r="J500" s="794"/>
      <c r="K500" s="794"/>
      <c r="L500" s="795"/>
      <c r="M500" s="293"/>
      <c r="N500" s="743"/>
      <c r="O500" s="744"/>
      <c r="P500" s="744"/>
      <c r="Q500" s="745"/>
      <c r="R500" s="293"/>
      <c r="S500" s="743"/>
      <c r="T500" s="744"/>
      <c r="U500" s="744"/>
      <c r="V500" s="745"/>
      <c r="W500" s="293"/>
      <c r="X500" s="743"/>
      <c r="Y500" s="744"/>
      <c r="Z500" s="744"/>
      <c r="AA500" s="745"/>
      <c r="AB500" s="254"/>
      <c r="AC500" s="189"/>
    </row>
    <row r="501" spans="1:29" ht="13.95" customHeight="1" x14ac:dyDescent="0.25">
      <c r="A501" s="476"/>
      <c r="B501" s="254"/>
      <c r="C501" s="254"/>
      <c r="D501" s="705"/>
      <c r="E501" s="706"/>
      <c r="F501" s="706"/>
      <c r="G501" s="707"/>
      <c r="H501" s="293"/>
      <c r="I501" s="796"/>
      <c r="J501" s="797"/>
      <c r="K501" s="797"/>
      <c r="L501" s="798"/>
      <c r="M501" s="293"/>
      <c r="N501" s="705"/>
      <c r="O501" s="706"/>
      <c r="P501" s="706"/>
      <c r="Q501" s="707"/>
      <c r="R501" s="293"/>
      <c r="S501" s="705"/>
      <c r="T501" s="706"/>
      <c r="U501" s="706"/>
      <c r="V501" s="707"/>
      <c r="W501" s="293"/>
      <c r="X501" s="705"/>
      <c r="Y501" s="706"/>
      <c r="Z501" s="706"/>
      <c r="AA501" s="707"/>
      <c r="AB501" s="254"/>
      <c r="AC501" s="189"/>
    </row>
    <row r="502" spans="1:29" ht="13.95" customHeight="1" x14ac:dyDescent="0.25">
      <c r="A502" s="476"/>
      <c r="B502" s="254"/>
      <c r="C502" s="254"/>
      <c r="D502" s="705"/>
      <c r="E502" s="706"/>
      <c r="F502" s="706"/>
      <c r="G502" s="707"/>
      <c r="H502" s="293"/>
      <c r="I502" s="796"/>
      <c r="J502" s="797"/>
      <c r="K502" s="797"/>
      <c r="L502" s="798"/>
      <c r="M502" s="293"/>
      <c r="N502" s="631"/>
      <c r="O502" s="632"/>
      <c r="P502" s="632"/>
      <c r="Q502" s="633"/>
      <c r="R502" s="293"/>
      <c r="S502" s="631"/>
      <c r="T502" s="632"/>
      <c r="U502" s="632"/>
      <c r="V502" s="633"/>
      <c r="W502" s="293"/>
      <c r="X502" s="631"/>
      <c r="Y502" s="632"/>
      <c r="Z502" s="632"/>
      <c r="AA502" s="633"/>
      <c r="AB502" s="254"/>
      <c r="AC502" s="189"/>
    </row>
    <row r="503" spans="1:29" ht="13.95" customHeight="1" x14ac:dyDescent="0.25">
      <c r="A503" s="476"/>
      <c r="B503" s="254"/>
      <c r="C503" s="254"/>
      <c r="D503" s="705"/>
      <c r="E503" s="706"/>
      <c r="F503" s="706"/>
      <c r="G503" s="707"/>
      <c r="H503" s="293"/>
      <c r="I503" s="796"/>
      <c r="J503" s="797"/>
      <c r="K503" s="797"/>
      <c r="L503" s="798"/>
      <c r="M503" s="293"/>
      <c r="N503" s="705"/>
      <c r="O503" s="706"/>
      <c r="P503" s="706"/>
      <c r="Q503" s="707"/>
      <c r="R503" s="293"/>
      <c r="S503" s="705"/>
      <c r="T503" s="706"/>
      <c r="U503" s="706"/>
      <c r="V503" s="707"/>
      <c r="W503" s="293"/>
      <c r="X503" s="705"/>
      <c r="Y503" s="706"/>
      <c r="Z503" s="706"/>
      <c r="AA503" s="707"/>
      <c r="AB503" s="254"/>
      <c r="AC503" s="189"/>
    </row>
    <row r="504" spans="1:29" ht="13.95" customHeight="1" x14ac:dyDescent="0.25">
      <c r="A504" s="476"/>
      <c r="B504" s="254"/>
      <c r="C504" s="254"/>
      <c r="D504" s="705"/>
      <c r="E504" s="706"/>
      <c r="F504" s="706"/>
      <c r="G504" s="707"/>
      <c r="H504" s="293"/>
      <c r="I504" s="796"/>
      <c r="J504" s="797"/>
      <c r="K504" s="797"/>
      <c r="L504" s="798"/>
      <c r="M504" s="293"/>
      <c r="N504" s="705"/>
      <c r="O504" s="706"/>
      <c r="P504" s="706"/>
      <c r="Q504" s="707"/>
      <c r="R504" s="293"/>
      <c r="S504" s="705"/>
      <c r="T504" s="706"/>
      <c r="U504" s="706"/>
      <c r="V504" s="707"/>
      <c r="W504" s="293"/>
      <c r="X504" s="705"/>
      <c r="Y504" s="706"/>
      <c r="Z504" s="706"/>
      <c r="AA504" s="707"/>
      <c r="AB504" s="254"/>
      <c r="AC504" s="189"/>
    </row>
    <row r="505" spans="1:29" ht="13.95" customHeight="1" x14ac:dyDescent="0.25">
      <c r="A505" s="476"/>
      <c r="B505" s="254"/>
      <c r="C505" s="254"/>
      <c r="D505" s="708"/>
      <c r="E505" s="709"/>
      <c r="F505" s="709"/>
      <c r="G505" s="710"/>
      <c r="H505" s="293"/>
      <c r="I505" s="799"/>
      <c r="J505" s="800"/>
      <c r="K505" s="800"/>
      <c r="L505" s="801"/>
      <c r="M505" s="293"/>
      <c r="N505" s="708"/>
      <c r="O505" s="709"/>
      <c r="P505" s="709"/>
      <c r="Q505" s="710"/>
      <c r="R505" s="293"/>
      <c r="S505" s="708"/>
      <c r="T505" s="709"/>
      <c r="U505" s="709"/>
      <c r="V505" s="710"/>
      <c r="W505" s="293"/>
      <c r="X505" s="708"/>
      <c r="Y505" s="709"/>
      <c r="Z505" s="709"/>
      <c r="AA505" s="710"/>
      <c r="AB505" s="254"/>
      <c r="AC505" s="189"/>
    </row>
    <row r="506" spans="1:29" ht="13.95" customHeight="1" x14ac:dyDescent="0.25">
      <c r="A506" s="476"/>
      <c r="B506" s="254"/>
      <c r="C506" s="254"/>
      <c r="D506" s="790" t="s">
        <v>527</v>
      </c>
      <c r="E506" s="791"/>
      <c r="F506" s="791"/>
      <c r="G506" s="792"/>
      <c r="H506" s="293"/>
      <c r="I506" s="790" t="s">
        <v>528</v>
      </c>
      <c r="J506" s="791"/>
      <c r="K506" s="791"/>
      <c r="L506" s="792"/>
      <c r="M506" s="293"/>
      <c r="N506" s="790" t="s">
        <v>529</v>
      </c>
      <c r="O506" s="791"/>
      <c r="P506" s="791"/>
      <c r="Q506" s="792"/>
      <c r="R506" s="293"/>
      <c r="S506" s="790" t="s">
        <v>530</v>
      </c>
      <c r="T506" s="791"/>
      <c r="U506" s="791"/>
      <c r="V506" s="792"/>
      <c r="W506" s="293"/>
      <c r="X506" s="790" t="s">
        <v>531</v>
      </c>
      <c r="Y506" s="791"/>
      <c r="Z506" s="791"/>
      <c r="AA506" s="792"/>
      <c r="AB506" s="254"/>
      <c r="AC506" s="189"/>
    </row>
    <row r="507" spans="1:29" ht="27" customHeight="1" x14ac:dyDescent="0.25">
      <c r="A507" s="476"/>
      <c r="B507" s="254"/>
      <c r="C507" s="254"/>
      <c r="D507" s="737" t="s">
        <v>717</v>
      </c>
      <c r="E507" s="738"/>
      <c r="F507" s="739"/>
      <c r="G507" s="740"/>
      <c r="H507" s="308"/>
      <c r="I507" s="737" t="s">
        <v>718</v>
      </c>
      <c r="J507" s="738"/>
      <c r="K507" s="739"/>
      <c r="L507" s="740"/>
      <c r="M507" s="308"/>
      <c r="N507" s="737" t="s">
        <v>534</v>
      </c>
      <c r="O507" s="738"/>
      <c r="P507" s="739"/>
      <c r="Q507" s="740"/>
      <c r="R507" s="308"/>
      <c r="S507" s="737" t="s">
        <v>532</v>
      </c>
      <c r="T507" s="738"/>
      <c r="U507" s="739"/>
      <c r="V507" s="740"/>
      <c r="W507" s="308"/>
      <c r="X507" s="737" t="s">
        <v>533</v>
      </c>
      <c r="Y507" s="738"/>
      <c r="Z507" s="739"/>
      <c r="AA507" s="740"/>
      <c r="AB507" s="254"/>
      <c r="AC507" s="189"/>
    </row>
    <row r="508" spans="1:29" ht="16.2" customHeight="1" x14ac:dyDescent="0.25">
      <c r="A508" s="476"/>
      <c r="B508" s="254"/>
      <c r="C508" s="254"/>
      <c r="D508" s="735">
        <v>22</v>
      </c>
      <c r="E508" s="736"/>
      <c r="F508" s="788">
        <v>0</v>
      </c>
      <c r="G508" s="789"/>
      <c r="H508" s="293"/>
      <c r="I508" s="735">
        <v>34</v>
      </c>
      <c r="J508" s="736"/>
      <c r="K508" s="788">
        <v>0</v>
      </c>
      <c r="L508" s="789"/>
      <c r="M508" s="293"/>
      <c r="N508" s="735">
        <v>6</v>
      </c>
      <c r="O508" s="736"/>
      <c r="P508" s="788">
        <v>0</v>
      </c>
      <c r="Q508" s="789"/>
      <c r="R508" s="293"/>
      <c r="S508" s="735">
        <v>4.5</v>
      </c>
      <c r="T508" s="736"/>
      <c r="U508" s="788">
        <v>0</v>
      </c>
      <c r="V508" s="789"/>
      <c r="W508" s="293"/>
      <c r="X508" s="735">
        <v>9</v>
      </c>
      <c r="Y508" s="736"/>
      <c r="Z508" s="788">
        <v>0</v>
      </c>
      <c r="AA508" s="789"/>
      <c r="AB508" s="254"/>
      <c r="AC508" s="189"/>
    </row>
    <row r="509" spans="1:29" ht="27" customHeight="1" x14ac:dyDescent="0.25">
      <c r="A509" s="476"/>
      <c r="B509" s="254"/>
      <c r="C509" s="254"/>
      <c r="D509" s="646"/>
      <c r="E509" s="646"/>
      <c r="F509" s="634"/>
      <c r="G509" s="634"/>
      <c r="H509" s="293"/>
      <c r="I509" s="646"/>
      <c r="J509" s="646"/>
      <c r="K509" s="634"/>
      <c r="L509" s="634"/>
      <c r="M509" s="293"/>
      <c r="N509" s="646"/>
      <c r="O509" s="646"/>
      <c r="P509" s="634"/>
      <c r="Q509" s="634"/>
      <c r="R509" s="293"/>
      <c r="S509" s="646"/>
      <c r="T509" s="646"/>
      <c r="U509" s="634"/>
      <c r="V509" s="634"/>
      <c r="W509" s="293"/>
      <c r="X509" s="646"/>
      <c r="Y509" s="646"/>
      <c r="Z509" s="634"/>
      <c r="AA509" s="634"/>
      <c r="AB509" s="254"/>
      <c r="AC509" s="189"/>
    </row>
    <row r="510" spans="1:29" ht="13.95" customHeight="1" x14ac:dyDescent="0.25">
      <c r="A510" s="476"/>
      <c r="B510" s="254"/>
      <c r="C510" s="254"/>
      <c r="D510" s="743"/>
      <c r="E510" s="744"/>
      <c r="F510" s="744"/>
      <c r="G510" s="745"/>
      <c r="H510" s="293"/>
      <c r="I510" s="793"/>
      <c r="J510" s="794"/>
      <c r="K510" s="794"/>
      <c r="L510" s="795"/>
      <c r="M510" s="293"/>
      <c r="N510" s="743"/>
      <c r="O510" s="744"/>
      <c r="P510" s="744"/>
      <c r="Q510" s="745"/>
      <c r="R510" s="293"/>
      <c r="S510" s="743"/>
      <c r="T510" s="744"/>
      <c r="U510" s="744"/>
      <c r="V510" s="745"/>
      <c r="W510" s="293"/>
      <c r="X510" s="743"/>
      <c r="Y510" s="744"/>
      <c r="Z510" s="744"/>
      <c r="AA510" s="745"/>
      <c r="AB510" s="254"/>
      <c r="AC510" s="189"/>
    </row>
    <row r="511" spans="1:29" ht="13.95" customHeight="1" x14ac:dyDescent="0.25">
      <c r="A511" s="476"/>
      <c r="B511" s="254"/>
      <c r="C511" s="254"/>
      <c r="D511" s="705"/>
      <c r="E511" s="706"/>
      <c r="F511" s="706"/>
      <c r="G511" s="707"/>
      <c r="H511" s="293"/>
      <c r="I511" s="796"/>
      <c r="J511" s="797"/>
      <c r="K511" s="797"/>
      <c r="L511" s="798"/>
      <c r="M511" s="293"/>
      <c r="N511" s="705"/>
      <c r="O511" s="706"/>
      <c r="P511" s="706"/>
      <c r="Q511" s="707"/>
      <c r="R511" s="293"/>
      <c r="S511" s="705"/>
      <c r="T511" s="706"/>
      <c r="U511" s="706"/>
      <c r="V511" s="707"/>
      <c r="W511" s="293"/>
      <c r="X511" s="705"/>
      <c r="Y511" s="706"/>
      <c r="Z511" s="706"/>
      <c r="AA511" s="707"/>
      <c r="AB511" s="254"/>
      <c r="AC511" s="189"/>
    </row>
    <row r="512" spans="1:29" ht="13.95" customHeight="1" x14ac:dyDescent="0.25">
      <c r="A512" s="476"/>
      <c r="B512" s="254"/>
      <c r="C512" s="254"/>
      <c r="D512" s="705"/>
      <c r="E512" s="706"/>
      <c r="F512" s="706"/>
      <c r="G512" s="707"/>
      <c r="H512" s="293"/>
      <c r="I512" s="796"/>
      <c r="J512" s="797"/>
      <c r="K512" s="797"/>
      <c r="L512" s="798"/>
      <c r="M512" s="293"/>
      <c r="N512" s="631"/>
      <c r="O512" s="632"/>
      <c r="P512" s="632"/>
      <c r="Q512" s="633"/>
      <c r="R512" s="293"/>
      <c r="S512" s="631"/>
      <c r="T512" s="632"/>
      <c r="U512" s="632"/>
      <c r="V512" s="633"/>
      <c r="W512" s="293"/>
      <c r="X512" s="631"/>
      <c r="Y512" s="632"/>
      <c r="Z512" s="632"/>
      <c r="AA512" s="633"/>
      <c r="AB512" s="254"/>
      <c r="AC512" s="189"/>
    </row>
    <row r="513" spans="1:29" ht="13.95" customHeight="1" x14ac:dyDescent="0.25">
      <c r="A513" s="476"/>
      <c r="B513" s="254"/>
      <c r="C513" s="254"/>
      <c r="D513" s="705"/>
      <c r="E513" s="706"/>
      <c r="F513" s="706"/>
      <c r="G513" s="707"/>
      <c r="H513" s="293"/>
      <c r="I513" s="796"/>
      <c r="J513" s="797"/>
      <c r="K513" s="797"/>
      <c r="L513" s="798"/>
      <c r="M513" s="293"/>
      <c r="N513" s="705"/>
      <c r="O513" s="706"/>
      <c r="P513" s="706"/>
      <c r="Q513" s="707"/>
      <c r="R513" s="293"/>
      <c r="S513" s="705"/>
      <c r="T513" s="706"/>
      <c r="U513" s="706"/>
      <c r="V513" s="707"/>
      <c r="W513" s="293"/>
      <c r="X513" s="705"/>
      <c r="Y513" s="706"/>
      <c r="Z513" s="706"/>
      <c r="AA513" s="707"/>
      <c r="AB513" s="254"/>
      <c r="AC513" s="189"/>
    </row>
    <row r="514" spans="1:29" ht="13.95" customHeight="1" x14ac:dyDescent="0.25">
      <c r="A514" s="476"/>
      <c r="B514" s="254"/>
      <c r="C514" s="254"/>
      <c r="D514" s="705"/>
      <c r="E514" s="706"/>
      <c r="F514" s="706"/>
      <c r="G514" s="707"/>
      <c r="H514" s="293"/>
      <c r="I514" s="796"/>
      <c r="J514" s="797"/>
      <c r="K514" s="797"/>
      <c r="L514" s="798"/>
      <c r="M514" s="293"/>
      <c r="N514" s="705"/>
      <c r="O514" s="706"/>
      <c r="P514" s="706"/>
      <c r="Q514" s="707"/>
      <c r="R514" s="293"/>
      <c r="S514" s="705"/>
      <c r="T514" s="706"/>
      <c r="U514" s="706"/>
      <c r="V514" s="707"/>
      <c r="W514" s="293"/>
      <c r="X514" s="705"/>
      <c r="Y514" s="706"/>
      <c r="Z514" s="706"/>
      <c r="AA514" s="707"/>
      <c r="AB514" s="254"/>
      <c r="AC514" s="189"/>
    </row>
    <row r="515" spans="1:29" ht="13.95" customHeight="1" x14ac:dyDescent="0.25">
      <c r="A515" s="476"/>
      <c r="B515" s="254"/>
      <c r="C515" s="254"/>
      <c r="D515" s="708"/>
      <c r="E515" s="709"/>
      <c r="F515" s="709"/>
      <c r="G515" s="710"/>
      <c r="H515" s="293"/>
      <c r="I515" s="799"/>
      <c r="J515" s="800"/>
      <c r="K515" s="800"/>
      <c r="L515" s="801"/>
      <c r="M515" s="293"/>
      <c r="N515" s="708"/>
      <c r="O515" s="709"/>
      <c r="P515" s="709"/>
      <c r="Q515" s="710"/>
      <c r="R515" s="293"/>
      <c r="S515" s="708"/>
      <c r="T515" s="709"/>
      <c r="U515" s="709"/>
      <c r="V515" s="710"/>
      <c r="W515" s="293"/>
      <c r="X515" s="708"/>
      <c r="Y515" s="709"/>
      <c r="Z515" s="709"/>
      <c r="AA515" s="710"/>
      <c r="AB515" s="254"/>
      <c r="AC515" s="189"/>
    </row>
    <row r="516" spans="1:29" ht="13.95" customHeight="1" x14ac:dyDescent="0.25">
      <c r="A516" s="476"/>
      <c r="B516" s="254"/>
      <c r="C516" s="254"/>
      <c r="D516" s="790" t="s">
        <v>543</v>
      </c>
      <c r="E516" s="791"/>
      <c r="F516" s="791"/>
      <c r="G516" s="792"/>
      <c r="H516" s="293"/>
      <c r="I516" s="790" t="s">
        <v>608</v>
      </c>
      <c r="J516" s="791"/>
      <c r="K516" s="791"/>
      <c r="L516" s="792"/>
      <c r="M516" s="293"/>
      <c r="N516" s="790" t="s">
        <v>544</v>
      </c>
      <c r="O516" s="791"/>
      <c r="P516" s="791"/>
      <c r="Q516" s="792"/>
      <c r="R516" s="293"/>
      <c r="S516" s="790" t="s">
        <v>545</v>
      </c>
      <c r="T516" s="791"/>
      <c r="U516" s="791"/>
      <c r="V516" s="792"/>
      <c r="W516" s="293"/>
      <c r="X516" s="790" t="s">
        <v>546</v>
      </c>
      <c r="Y516" s="791"/>
      <c r="Z516" s="791"/>
      <c r="AA516" s="792"/>
      <c r="AB516" s="254"/>
      <c r="AC516" s="189"/>
    </row>
    <row r="517" spans="1:29" ht="27" customHeight="1" x14ac:dyDescent="0.25">
      <c r="A517" s="476"/>
      <c r="B517" s="254"/>
      <c r="C517" s="254"/>
      <c r="D517" s="737" t="s">
        <v>921</v>
      </c>
      <c r="E517" s="738"/>
      <c r="F517" s="739"/>
      <c r="G517" s="740"/>
      <c r="H517" s="308"/>
      <c r="I517" s="737" t="s">
        <v>922</v>
      </c>
      <c r="J517" s="738"/>
      <c r="K517" s="739"/>
      <c r="L517" s="740"/>
      <c r="M517" s="308"/>
      <c r="N517" s="737" t="s">
        <v>559</v>
      </c>
      <c r="O517" s="738"/>
      <c r="P517" s="739"/>
      <c r="Q517" s="740"/>
      <c r="R517" s="308"/>
      <c r="S517" s="737" t="s">
        <v>551</v>
      </c>
      <c r="T517" s="738"/>
      <c r="U517" s="739"/>
      <c r="V517" s="740"/>
      <c r="W517" s="308"/>
      <c r="X517" s="737" t="s">
        <v>550</v>
      </c>
      <c r="Y517" s="738"/>
      <c r="Z517" s="739"/>
      <c r="AA517" s="740"/>
      <c r="AB517" s="254"/>
      <c r="AC517" s="189"/>
    </row>
    <row r="518" spans="1:29" ht="16.2" customHeight="1" x14ac:dyDescent="0.25">
      <c r="A518" s="476"/>
      <c r="B518" s="254"/>
      <c r="C518" s="254"/>
      <c r="D518" s="735">
        <v>120</v>
      </c>
      <c r="E518" s="736"/>
      <c r="F518" s="788">
        <v>0</v>
      </c>
      <c r="G518" s="789"/>
      <c r="H518" s="293"/>
      <c r="I518" s="735">
        <v>80</v>
      </c>
      <c r="J518" s="736"/>
      <c r="K518" s="788">
        <v>0</v>
      </c>
      <c r="L518" s="789"/>
      <c r="M518" s="293"/>
      <c r="N518" s="735">
        <v>55</v>
      </c>
      <c r="O518" s="736"/>
      <c r="P518" s="788">
        <v>0</v>
      </c>
      <c r="Q518" s="789"/>
      <c r="R518" s="293"/>
      <c r="S518" s="735">
        <v>28</v>
      </c>
      <c r="T518" s="736"/>
      <c r="U518" s="788">
        <v>0</v>
      </c>
      <c r="V518" s="789"/>
      <c r="W518" s="293"/>
      <c r="X518" s="735">
        <v>32</v>
      </c>
      <c r="Y518" s="736"/>
      <c r="Z518" s="788">
        <v>0</v>
      </c>
      <c r="AA518" s="789"/>
      <c r="AB518" s="254"/>
      <c r="AC518" s="189"/>
    </row>
    <row r="519" spans="1:29" ht="27" customHeight="1" x14ac:dyDescent="0.25">
      <c r="A519" s="476"/>
      <c r="B519" s="254"/>
      <c r="C519" s="254"/>
      <c r="D519" s="646"/>
      <c r="E519" s="646"/>
      <c r="F519" s="634"/>
      <c r="G519" s="634"/>
      <c r="H519" s="293"/>
      <c r="I519" s="646"/>
      <c r="J519" s="646"/>
      <c r="K519" s="634"/>
      <c r="L519" s="634"/>
      <c r="M519" s="293"/>
      <c r="N519" s="646"/>
      <c r="O519" s="646"/>
      <c r="P519" s="634"/>
      <c r="Q519" s="634"/>
      <c r="R519" s="293"/>
      <c r="S519" s="646"/>
      <c r="T519" s="646"/>
      <c r="U519" s="634"/>
      <c r="V519" s="634"/>
      <c r="W519" s="293"/>
      <c r="X519" s="646"/>
      <c r="Y519" s="646"/>
      <c r="Z519" s="634"/>
      <c r="AA519" s="634"/>
      <c r="AB519" s="254"/>
      <c r="AC519" s="189"/>
    </row>
    <row r="520" spans="1:29" ht="13.95" customHeight="1" x14ac:dyDescent="0.25">
      <c r="A520" s="476"/>
      <c r="B520" s="254"/>
      <c r="C520" s="254"/>
      <c r="D520" s="743"/>
      <c r="E520" s="744"/>
      <c r="F520" s="744"/>
      <c r="G520" s="745"/>
      <c r="H520" s="293"/>
      <c r="I520" s="793"/>
      <c r="J520" s="794"/>
      <c r="K520" s="794"/>
      <c r="L520" s="795"/>
      <c r="M520" s="293"/>
      <c r="N520" s="793"/>
      <c r="O520" s="794"/>
      <c r="P520" s="794"/>
      <c r="Q520" s="795"/>
      <c r="R520" s="293"/>
      <c r="S520" s="743"/>
      <c r="T520" s="744"/>
      <c r="U520" s="744"/>
      <c r="V520" s="745"/>
      <c r="W520" s="293"/>
      <c r="X520" s="743"/>
      <c r="Y520" s="744"/>
      <c r="Z520" s="744"/>
      <c r="AA520" s="745"/>
      <c r="AB520" s="254"/>
      <c r="AC520" s="189"/>
    </row>
    <row r="521" spans="1:29" ht="13.95" customHeight="1" x14ac:dyDescent="0.25">
      <c r="A521" s="476"/>
      <c r="B521" s="254"/>
      <c r="C521" s="254"/>
      <c r="D521" s="705"/>
      <c r="E521" s="706"/>
      <c r="F521" s="706"/>
      <c r="G521" s="707"/>
      <c r="H521" s="293"/>
      <c r="I521" s="796"/>
      <c r="J521" s="797"/>
      <c r="K521" s="797"/>
      <c r="L521" s="798"/>
      <c r="M521" s="293"/>
      <c r="N521" s="796"/>
      <c r="O521" s="797"/>
      <c r="P521" s="797"/>
      <c r="Q521" s="798"/>
      <c r="R521" s="293"/>
      <c r="S521" s="705"/>
      <c r="T521" s="706"/>
      <c r="U521" s="706"/>
      <c r="V521" s="707"/>
      <c r="W521" s="293"/>
      <c r="X521" s="705"/>
      <c r="Y521" s="706"/>
      <c r="Z521" s="706"/>
      <c r="AA521" s="707"/>
      <c r="AB521" s="254"/>
      <c r="AC521" s="189"/>
    </row>
    <row r="522" spans="1:29" ht="13.95" customHeight="1" x14ac:dyDescent="0.25">
      <c r="A522" s="476"/>
      <c r="B522" s="254"/>
      <c r="C522" s="254"/>
      <c r="D522" s="705"/>
      <c r="E522" s="706"/>
      <c r="F522" s="706"/>
      <c r="G522" s="707"/>
      <c r="H522" s="293"/>
      <c r="I522" s="796"/>
      <c r="J522" s="797"/>
      <c r="K522" s="797"/>
      <c r="L522" s="798"/>
      <c r="M522" s="293"/>
      <c r="N522" s="796"/>
      <c r="O522" s="797"/>
      <c r="P522" s="797"/>
      <c r="Q522" s="798"/>
      <c r="R522" s="293"/>
      <c r="S522" s="655"/>
      <c r="T522" s="656"/>
      <c r="U522" s="656"/>
      <c r="V522" s="657"/>
      <c r="W522" s="293"/>
      <c r="X522" s="655"/>
      <c r="Y522" s="656"/>
      <c r="Z522" s="656"/>
      <c r="AA522" s="657"/>
      <c r="AB522" s="254"/>
    </row>
    <row r="523" spans="1:29" ht="13.95" customHeight="1" x14ac:dyDescent="0.25">
      <c r="A523" s="476"/>
      <c r="B523" s="254"/>
      <c r="C523" s="254"/>
      <c r="D523" s="705"/>
      <c r="E523" s="706"/>
      <c r="F523" s="706"/>
      <c r="G523" s="707"/>
      <c r="H523" s="293"/>
      <c r="I523" s="796"/>
      <c r="J523" s="797"/>
      <c r="K523" s="797"/>
      <c r="L523" s="798"/>
      <c r="M523" s="293"/>
      <c r="N523" s="796"/>
      <c r="O523" s="797"/>
      <c r="P523" s="797"/>
      <c r="Q523" s="798"/>
      <c r="R523" s="293"/>
      <c r="S523" s="705"/>
      <c r="T523" s="706"/>
      <c r="U523" s="706"/>
      <c r="V523" s="707"/>
      <c r="W523" s="293"/>
      <c r="X523" s="705"/>
      <c r="Y523" s="706"/>
      <c r="Z523" s="706"/>
      <c r="AA523" s="707"/>
      <c r="AB523" s="254"/>
    </row>
    <row r="524" spans="1:29" ht="13.95" customHeight="1" x14ac:dyDescent="0.25">
      <c r="A524" s="476"/>
      <c r="B524" s="254"/>
      <c r="C524" s="254"/>
      <c r="D524" s="705"/>
      <c r="E524" s="706"/>
      <c r="F524" s="706"/>
      <c r="G524" s="707"/>
      <c r="H524" s="293"/>
      <c r="I524" s="796"/>
      <c r="J524" s="797"/>
      <c r="K524" s="797"/>
      <c r="L524" s="798"/>
      <c r="M524" s="293"/>
      <c r="N524" s="796"/>
      <c r="O524" s="797"/>
      <c r="P524" s="797"/>
      <c r="Q524" s="798"/>
      <c r="R524" s="293"/>
      <c r="S524" s="705"/>
      <c r="T524" s="706"/>
      <c r="U524" s="706"/>
      <c r="V524" s="707"/>
      <c r="W524" s="293"/>
      <c r="X524" s="705"/>
      <c r="Y524" s="706"/>
      <c r="Z524" s="706"/>
      <c r="AA524" s="707"/>
      <c r="AB524" s="254"/>
    </row>
    <row r="525" spans="1:29" ht="13.95" customHeight="1" x14ac:dyDescent="0.25">
      <c r="A525" s="476"/>
      <c r="B525" s="254"/>
      <c r="C525" s="254"/>
      <c r="D525" s="708"/>
      <c r="E525" s="709"/>
      <c r="F525" s="709"/>
      <c r="G525" s="710"/>
      <c r="H525" s="293"/>
      <c r="I525" s="799"/>
      <c r="J525" s="800"/>
      <c r="K525" s="800"/>
      <c r="L525" s="801"/>
      <c r="M525" s="293"/>
      <c r="N525" s="799"/>
      <c r="O525" s="800"/>
      <c r="P525" s="800"/>
      <c r="Q525" s="801"/>
      <c r="R525" s="293"/>
      <c r="S525" s="708"/>
      <c r="T525" s="709"/>
      <c r="U525" s="709"/>
      <c r="V525" s="710"/>
      <c r="W525" s="293"/>
      <c r="X525" s="708"/>
      <c r="Y525" s="709"/>
      <c r="Z525" s="709"/>
      <c r="AA525" s="710"/>
      <c r="AB525" s="254"/>
    </row>
    <row r="526" spans="1:29" ht="13.95" customHeight="1" x14ac:dyDescent="0.25">
      <c r="A526" s="476"/>
      <c r="B526" s="254"/>
      <c r="C526" s="254"/>
      <c r="D526" s="790" t="s">
        <v>568</v>
      </c>
      <c r="E526" s="791"/>
      <c r="F526" s="791"/>
      <c r="G526" s="792"/>
      <c r="H526" s="293"/>
      <c r="I526" s="790" t="s">
        <v>569</v>
      </c>
      <c r="J526" s="791"/>
      <c r="K526" s="791"/>
      <c r="L526" s="792"/>
      <c r="M526" s="293"/>
      <c r="N526" s="790" t="s">
        <v>547</v>
      </c>
      <c r="O526" s="791"/>
      <c r="P526" s="791"/>
      <c r="Q526" s="792"/>
      <c r="R526" s="293"/>
      <c r="S526" s="790" t="s">
        <v>548</v>
      </c>
      <c r="T526" s="791"/>
      <c r="U526" s="791"/>
      <c r="V526" s="792"/>
      <c r="W526" s="293"/>
      <c r="X526" s="790" t="s">
        <v>549</v>
      </c>
      <c r="Y526" s="791"/>
      <c r="Z526" s="791"/>
      <c r="AA526" s="792"/>
      <c r="AB526" s="254"/>
    </row>
    <row r="527" spans="1:29" ht="27" customHeight="1" x14ac:dyDescent="0.25">
      <c r="A527" s="476"/>
      <c r="B527" s="254"/>
      <c r="C527" s="254"/>
      <c r="D527" s="737" t="s">
        <v>719</v>
      </c>
      <c r="E527" s="738"/>
      <c r="F527" s="739"/>
      <c r="G527" s="740"/>
      <c r="H527" s="308"/>
      <c r="I527" s="737" t="s">
        <v>570</v>
      </c>
      <c r="J527" s="738"/>
      <c r="K527" s="739"/>
      <c r="L527" s="740"/>
      <c r="M527" s="308"/>
      <c r="N527" s="737" t="s">
        <v>552</v>
      </c>
      <c r="O527" s="738"/>
      <c r="P527" s="739"/>
      <c r="Q527" s="740"/>
      <c r="R527" s="308"/>
      <c r="S527" s="737" t="s">
        <v>553</v>
      </c>
      <c r="T527" s="738"/>
      <c r="U527" s="739"/>
      <c r="V527" s="740"/>
      <c r="W527" s="308"/>
      <c r="X527" s="737" t="s">
        <v>554</v>
      </c>
      <c r="Y527" s="738"/>
      <c r="Z527" s="739"/>
      <c r="AA527" s="740"/>
      <c r="AB527" s="254"/>
    </row>
    <row r="528" spans="1:29" ht="16.2" customHeight="1" x14ac:dyDescent="0.25">
      <c r="A528" s="476"/>
      <c r="B528" s="254"/>
      <c r="C528" s="254"/>
      <c r="D528" s="735">
        <v>60</v>
      </c>
      <c r="E528" s="736"/>
      <c r="F528" s="788">
        <v>0</v>
      </c>
      <c r="G528" s="789"/>
      <c r="H528" s="293"/>
      <c r="I528" s="735">
        <v>105</v>
      </c>
      <c r="J528" s="736"/>
      <c r="K528" s="788">
        <v>0</v>
      </c>
      <c r="L528" s="789"/>
      <c r="M528" s="293"/>
      <c r="N528" s="735">
        <v>105</v>
      </c>
      <c r="O528" s="736"/>
      <c r="P528" s="788">
        <v>0</v>
      </c>
      <c r="Q528" s="789"/>
      <c r="R528" s="293"/>
      <c r="S528" s="735">
        <v>295</v>
      </c>
      <c r="T528" s="736"/>
      <c r="U528" s="788">
        <v>0</v>
      </c>
      <c r="V528" s="789"/>
      <c r="W528" s="293" t="s">
        <v>923</v>
      </c>
      <c r="X528" s="735">
        <v>400</v>
      </c>
      <c r="Y528" s="736"/>
      <c r="Z528" s="788">
        <v>0</v>
      </c>
      <c r="AA528" s="789"/>
      <c r="AB528" s="254"/>
    </row>
    <row r="529" spans="1:29" ht="27" customHeight="1" x14ac:dyDescent="0.25">
      <c r="A529" s="476"/>
      <c r="B529" s="254"/>
      <c r="C529" s="254"/>
      <c r="D529" s="646"/>
      <c r="E529" s="646"/>
      <c r="F529" s="634"/>
      <c r="G529" s="634"/>
      <c r="H529" s="293"/>
      <c r="I529" s="646"/>
      <c r="J529" s="646"/>
      <c r="K529" s="634"/>
      <c r="L529" s="634"/>
      <c r="M529" s="293"/>
      <c r="N529" s="646"/>
      <c r="O529" s="646"/>
      <c r="P529" s="634"/>
      <c r="Q529" s="634"/>
      <c r="R529" s="293"/>
      <c r="S529" s="646"/>
      <c r="T529" s="646"/>
      <c r="U529" s="634"/>
      <c r="V529" s="634"/>
      <c r="W529" s="293"/>
      <c r="X529" s="646"/>
      <c r="Y529" s="646"/>
      <c r="Z529" s="634"/>
      <c r="AA529" s="634"/>
      <c r="AB529" s="254"/>
    </row>
    <row r="530" spans="1:29" s="494" customFormat="1" ht="27" customHeight="1" x14ac:dyDescent="0.25">
      <c r="B530" s="270"/>
      <c r="C530" s="270"/>
      <c r="D530" s="647"/>
      <c r="E530" s="647"/>
      <c r="F530" s="648"/>
      <c r="G530" s="648"/>
      <c r="H530" s="649"/>
      <c r="I530" s="647"/>
      <c r="J530" s="647"/>
      <c r="K530" s="648"/>
      <c r="L530" s="648"/>
      <c r="M530" s="649"/>
      <c r="N530" s="647"/>
      <c r="O530" s="647"/>
      <c r="P530" s="648"/>
      <c r="Q530" s="648"/>
      <c r="R530" s="649"/>
      <c r="S530" s="647"/>
      <c r="T530" s="647"/>
      <c r="U530" s="648"/>
      <c r="V530" s="648"/>
      <c r="W530" s="649"/>
      <c r="X530" s="647"/>
      <c r="Y530" s="647"/>
      <c r="Z530" s="648"/>
      <c r="AA530" s="648"/>
      <c r="AB530" s="270"/>
      <c r="AC530" s="270"/>
    </row>
    <row r="531" spans="1:29" s="281" customFormat="1" ht="27" customHeight="1" x14ac:dyDescent="0.4">
      <c r="B531" s="452"/>
      <c r="C531" s="845"/>
      <c r="D531" s="846"/>
      <c r="E531" s="845"/>
      <c r="F531" s="845"/>
      <c r="G531" s="845"/>
      <c r="H531" s="845"/>
      <c r="I531" s="845"/>
      <c r="J531" s="845"/>
      <c r="K531" s="845"/>
      <c r="L531" s="845"/>
      <c r="M531" s="845"/>
      <c r="N531" s="845"/>
      <c r="O531" s="845"/>
      <c r="P531" s="845"/>
      <c r="Q531" s="845"/>
      <c r="R531" s="845"/>
      <c r="S531" s="845"/>
      <c r="T531" s="845"/>
      <c r="U531" s="845"/>
      <c r="V531" s="845"/>
      <c r="W531" s="845"/>
      <c r="X531" s="845"/>
      <c r="Y531" s="845"/>
      <c r="Z531" s="845"/>
      <c r="AA531" s="845"/>
      <c r="AB531" s="452"/>
      <c r="AC531" s="440"/>
    </row>
    <row r="532" spans="1:29" s="205" customFormat="1" ht="14.4" x14ac:dyDescent="0.3">
      <c r="B532" s="441"/>
      <c r="C532" s="441"/>
      <c r="D532" s="453"/>
      <c r="E532" s="885"/>
      <c r="F532" s="885"/>
      <c r="G532" s="885"/>
      <c r="H532" s="885"/>
      <c r="I532" s="885"/>
      <c r="J532" s="885"/>
      <c r="K532" s="885"/>
      <c r="L532" s="885"/>
      <c r="M532" s="885"/>
      <c r="N532" s="885"/>
      <c r="O532" s="885"/>
      <c r="P532" s="885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8" x14ac:dyDescent="0.25">
      <c r="B533" s="456"/>
      <c r="C533" s="843"/>
      <c r="D533" s="843"/>
      <c r="E533" s="843"/>
      <c r="F533" s="843"/>
      <c r="G533" s="843"/>
      <c r="H533" s="843"/>
      <c r="I533" s="843"/>
      <c r="J533" s="843"/>
      <c r="K533" s="843"/>
      <c r="L533" s="843"/>
      <c r="M533" s="843"/>
      <c r="N533" s="843"/>
      <c r="O533" s="843"/>
      <c r="P533" s="843"/>
      <c r="Q533" s="843"/>
      <c r="R533" s="843"/>
      <c r="S533" s="843"/>
      <c r="T533" s="843"/>
      <c r="U533" s="843"/>
      <c r="V533" s="843"/>
      <c r="W533" s="843"/>
      <c r="X533" s="843"/>
      <c r="Y533" s="843"/>
      <c r="Z533" s="843"/>
      <c r="AA533" s="843"/>
      <c r="AB533" s="456"/>
      <c r="AC533" s="441"/>
    </row>
    <row r="534" spans="1:29" s="205" customFormat="1" ht="5.0999999999999996" customHeight="1" x14ac:dyDescent="0.25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 x14ac:dyDescent="0.35">
      <c r="B535" s="458"/>
      <c r="C535" s="458"/>
      <c r="D535" s="844"/>
      <c r="E535" s="844"/>
      <c r="F535" s="844"/>
      <c r="G535" s="844"/>
      <c r="H535" s="844"/>
      <c r="I535" s="844"/>
      <c r="J535" s="844"/>
      <c r="K535" s="844"/>
      <c r="L535" s="844"/>
      <c r="M535" s="844"/>
      <c r="N535" s="844"/>
      <c r="O535" s="844"/>
      <c r="P535" s="844"/>
      <c r="Q535" s="844"/>
      <c r="R535" s="844"/>
      <c r="S535" s="844"/>
      <c r="T535" s="844"/>
      <c r="U535" s="844"/>
      <c r="V535" s="844"/>
      <c r="W535" s="844"/>
      <c r="X535" s="844"/>
      <c r="Y535" s="844"/>
      <c r="Z535" s="844"/>
      <c r="AA535" s="844"/>
      <c r="AB535" s="458"/>
      <c r="AC535" s="441"/>
    </row>
    <row r="536" spans="1:29" s="205" customFormat="1" ht="27" customHeight="1" x14ac:dyDescent="0.35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 x14ac:dyDescent="0.25">
      <c r="B537" s="818" t="s">
        <v>504</v>
      </c>
      <c r="C537" s="818"/>
      <c r="D537" s="818"/>
      <c r="E537" s="818"/>
      <c r="F537" s="818"/>
      <c r="G537" s="818"/>
      <c r="H537" s="818"/>
      <c r="I537" s="818"/>
      <c r="J537" s="818"/>
      <c r="K537" s="818"/>
      <c r="L537" s="818"/>
      <c r="M537" s="818"/>
      <c r="N537" s="818"/>
      <c r="O537" s="818"/>
      <c r="P537" s="818"/>
      <c r="Q537" s="818"/>
      <c r="R537" s="460"/>
      <c r="S537" s="819" t="s">
        <v>505</v>
      </c>
      <c r="T537" s="819"/>
      <c r="U537" s="819"/>
      <c r="V537" s="819"/>
      <c r="W537" s="819"/>
      <c r="X537" s="819"/>
      <c r="Y537" s="819"/>
      <c r="Z537" s="819"/>
      <c r="AA537" s="819"/>
      <c r="AB537" s="819"/>
      <c r="AC537" s="441"/>
    </row>
    <row r="538" spans="1:29" s="500" customFormat="1" ht="27" customHeight="1" x14ac:dyDescent="0.25">
      <c r="B538" s="882" t="s">
        <v>506</v>
      </c>
      <c r="C538" s="882"/>
      <c r="D538" s="882"/>
      <c r="E538" s="882"/>
      <c r="F538" s="882"/>
      <c r="G538" s="882"/>
      <c r="H538" s="827"/>
      <c r="I538" s="828"/>
      <c r="J538" s="828"/>
      <c r="K538" s="828"/>
      <c r="L538" s="828"/>
      <c r="M538" s="828"/>
      <c r="N538" s="828"/>
      <c r="O538" s="828"/>
      <c r="P538" s="828"/>
      <c r="Q538" s="829"/>
      <c r="R538" s="461"/>
      <c r="S538" s="813" t="s">
        <v>13</v>
      </c>
      <c r="T538" s="814"/>
      <c r="U538" s="814"/>
      <c r="V538" s="814"/>
      <c r="W538" s="814"/>
      <c r="X538" s="842"/>
      <c r="Y538" s="895">
        <f>Resume!O12</f>
        <v>127.2</v>
      </c>
      <c r="Z538" s="896"/>
      <c r="AA538" s="896"/>
      <c r="AB538" s="896"/>
      <c r="AC538" s="499"/>
    </row>
    <row r="539" spans="1:29" s="500" customFormat="1" ht="27" customHeight="1" x14ac:dyDescent="0.25">
      <c r="B539" s="882" t="s">
        <v>507</v>
      </c>
      <c r="C539" s="882"/>
      <c r="D539" s="882"/>
      <c r="E539" s="882"/>
      <c r="F539" s="882"/>
      <c r="G539" s="882"/>
      <c r="H539" s="827"/>
      <c r="I539" s="828"/>
      <c r="J539" s="828"/>
      <c r="K539" s="828"/>
      <c r="L539" s="828"/>
      <c r="M539" s="828"/>
      <c r="N539" s="828"/>
      <c r="O539" s="828"/>
      <c r="P539" s="828"/>
      <c r="Q539" s="829"/>
      <c r="R539" s="461"/>
      <c r="S539" s="813" t="s">
        <v>1</v>
      </c>
      <c r="T539" s="814"/>
      <c r="U539" s="814"/>
      <c r="V539" s="814"/>
      <c r="W539" s="814"/>
      <c r="X539" s="842"/>
      <c r="Y539" s="897">
        <f>Resume!O22</f>
        <v>0</v>
      </c>
      <c r="Z539" s="896"/>
      <c r="AA539" s="896"/>
      <c r="AB539" s="896"/>
      <c r="AC539" s="499"/>
    </row>
    <row r="540" spans="1:29" s="500" customFormat="1" ht="27" customHeight="1" x14ac:dyDescent="0.25">
      <c r="B540" s="882" t="s">
        <v>508</v>
      </c>
      <c r="C540" s="882"/>
      <c r="D540" s="882"/>
      <c r="E540" s="882"/>
      <c r="F540" s="882"/>
      <c r="G540" s="882"/>
      <c r="H540" s="827"/>
      <c r="I540" s="828"/>
      <c r="J540" s="828"/>
      <c r="K540" s="828"/>
      <c r="L540" s="828"/>
      <c r="M540" s="828"/>
      <c r="N540" s="828"/>
      <c r="O540" s="828"/>
      <c r="P540" s="828"/>
      <c r="Q540" s="829"/>
      <c r="R540" s="507"/>
      <c r="S540" s="813" t="s">
        <v>318</v>
      </c>
      <c r="T540" s="814"/>
      <c r="U540" s="814"/>
      <c r="V540" s="814"/>
      <c r="W540" s="814"/>
      <c r="X540" s="842"/>
      <c r="Y540" s="895">
        <f>Resume!O44</f>
        <v>245.05</v>
      </c>
      <c r="Z540" s="896"/>
      <c r="AA540" s="896"/>
      <c r="AB540" s="896"/>
      <c r="AC540" s="499"/>
    </row>
    <row r="541" spans="1:29" s="500" customFormat="1" ht="27" customHeight="1" x14ac:dyDescent="0.25">
      <c r="B541" s="882" t="s">
        <v>509</v>
      </c>
      <c r="C541" s="882"/>
      <c r="D541" s="882"/>
      <c r="E541" s="882"/>
      <c r="F541" s="882"/>
      <c r="G541" s="882"/>
      <c r="H541" s="830"/>
      <c r="I541" s="831"/>
      <c r="J541" s="831"/>
      <c r="K541" s="831"/>
      <c r="L541" s="831"/>
      <c r="M541" s="831"/>
      <c r="N541" s="831"/>
      <c r="O541" s="831"/>
      <c r="P541" s="831"/>
      <c r="Q541" s="832"/>
      <c r="R541" s="507"/>
      <c r="S541" s="813" t="s">
        <v>319</v>
      </c>
      <c r="T541" s="814"/>
      <c r="U541" s="814"/>
      <c r="V541" s="814"/>
      <c r="W541" s="814"/>
      <c r="X541" s="842"/>
      <c r="Y541" s="897">
        <f>Resume!O82</f>
        <v>0</v>
      </c>
      <c r="Z541" s="896"/>
      <c r="AA541" s="896"/>
      <c r="AB541" s="896"/>
      <c r="AC541" s="499"/>
    </row>
    <row r="542" spans="1:29" s="500" customFormat="1" ht="27" customHeight="1" x14ac:dyDescent="0.25">
      <c r="B542" s="882" t="s">
        <v>510</v>
      </c>
      <c r="C542" s="882"/>
      <c r="D542" s="882"/>
      <c r="E542" s="882"/>
      <c r="F542" s="882"/>
      <c r="G542" s="882"/>
      <c r="H542" s="827"/>
      <c r="I542" s="828"/>
      <c r="J542" s="828"/>
      <c r="K542" s="828"/>
      <c r="L542" s="828"/>
      <c r="M542" s="828"/>
      <c r="N542" s="828"/>
      <c r="O542" s="828"/>
      <c r="P542" s="828"/>
      <c r="Q542" s="829"/>
      <c r="R542" s="507"/>
      <c r="S542" s="813" t="s">
        <v>14</v>
      </c>
      <c r="T542" s="814"/>
      <c r="U542" s="814"/>
      <c r="V542" s="814"/>
      <c r="W542" s="814"/>
      <c r="X542" s="842"/>
      <c r="Y542" s="897">
        <f>Resume!O101</f>
        <v>11.34</v>
      </c>
      <c r="Z542" s="896"/>
      <c r="AA542" s="896"/>
      <c r="AB542" s="896"/>
      <c r="AC542" s="499"/>
    </row>
    <row r="543" spans="1:29" s="500" customFormat="1" ht="27" customHeight="1" x14ac:dyDescent="0.25">
      <c r="B543" s="882" t="s">
        <v>511</v>
      </c>
      <c r="C543" s="882"/>
      <c r="D543" s="882"/>
      <c r="E543" s="882"/>
      <c r="F543" s="882"/>
      <c r="G543" s="882"/>
      <c r="H543" s="833" t="s">
        <v>412</v>
      </c>
      <c r="I543" s="834"/>
      <c r="J543" s="834"/>
      <c r="K543" s="834"/>
      <c r="L543" s="834"/>
      <c r="M543" s="834"/>
      <c r="N543" s="834"/>
      <c r="O543" s="834"/>
      <c r="P543" s="834"/>
      <c r="Q543" s="835"/>
      <c r="R543" s="508"/>
      <c r="S543" s="813" t="s">
        <v>503</v>
      </c>
      <c r="T543" s="814"/>
      <c r="U543" s="814"/>
      <c r="V543" s="814"/>
      <c r="W543" s="814"/>
      <c r="X543" s="842"/>
      <c r="Y543" s="906">
        <f>Resume!O145</f>
        <v>0</v>
      </c>
      <c r="Z543" s="906"/>
      <c r="AA543" s="906"/>
      <c r="AB543" s="906"/>
      <c r="AC543" s="499"/>
    </row>
    <row r="544" spans="1:29" s="500" customFormat="1" ht="27" customHeight="1" x14ac:dyDescent="0.25">
      <c r="B544" s="882" t="s">
        <v>512</v>
      </c>
      <c r="C544" s="882"/>
      <c r="D544" s="882"/>
      <c r="E544" s="882"/>
      <c r="F544" s="882"/>
      <c r="G544" s="882"/>
      <c r="H544" s="836"/>
      <c r="I544" s="837"/>
      <c r="J544" s="837"/>
      <c r="K544" s="837"/>
      <c r="L544" s="837"/>
      <c r="M544" s="837"/>
      <c r="N544" s="837"/>
      <c r="O544" s="837"/>
      <c r="P544" s="837"/>
      <c r="Q544" s="838"/>
      <c r="R544" s="507"/>
      <c r="S544" s="813" t="s">
        <v>112</v>
      </c>
      <c r="T544" s="814"/>
      <c r="U544" s="814"/>
      <c r="V544" s="814"/>
      <c r="W544" s="814"/>
      <c r="X544" s="842"/>
      <c r="Y544" s="895">
        <f>Resume!O164</f>
        <v>53.499999999999993</v>
      </c>
      <c r="Z544" s="896"/>
      <c r="AA544" s="896"/>
      <c r="AB544" s="896"/>
      <c r="AC544" s="499"/>
    </row>
    <row r="545" spans="2:29" s="500" customFormat="1" ht="27" customHeight="1" x14ac:dyDescent="0.25">
      <c r="B545" s="882" t="s">
        <v>513</v>
      </c>
      <c r="C545" s="882"/>
      <c r="D545" s="882"/>
      <c r="E545" s="882"/>
      <c r="F545" s="882"/>
      <c r="G545" s="882"/>
      <c r="H545" s="839" t="s">
        <v>524</v>
      </c>
      <c r="I545" s="840"/>
      <c r="J545" s="840"/>
      <c r="K545" s="840"/>
      <c r="L545" s="840"/>
      <c r="M545" s="840"/>
      <c r="N545" s="840"/>
      <c r="O545" s="840"/>
      <c r="P545" s="840"/>
      <c r="Q545" s="841"/>
      <c r="R545" s="509"/>
      <c r="S545" s="813" t="s">
        <v>560</v>
      </c>
      <c r="T545" s="814"/>
      <c r="U545" s="814"/>
      <c r="V545" s="814"/>
      <c r="W545" s="814"/>
      <c r="X545" s="842"/>
      <c r="Y545" s="896">
        <f>Resume!O165</f>
        <v>78</v>
      </c>
      <c r="Z545" s="896"/>
      <c r="AA545" s="896"/>
      <c r="AB545" s="896"/>
      <c r="AC545" s="499"/>
    </row>
    <row r="546" spans="2:29" s="500" customFormat="1" ht="27" customHeight="1" x14ac:dyDescent="0.25">
      <c r="B546" s="882" t="s">
        <v>514</v>
      </c>
      <c r="C546" s="882"/>
      <c r="D546" s="882"/>
      <c r="E546" s="882"/>
      <c r="F546" s="882"/>
      <c r="G546" s="882"/>
      <c r="H546" s="836"/>
      <c r="I546" s="837"/>
      <c r="J546" s="837"/>
      <c r="K546" s="837"/>
      <c r="L546" s="837"/>
      <c r="M546" s="837"/>
      <c r="N546" s="837"/>
      <c r="O546" s="837"/>
      <c r="P546" s="837"/>
      <c r="Q546" s="838"/>
      <c r="R546" s="507"/>
      <c r="S546" s="813" t="s">
        <v>113</v>
      </c>
      <c r="T546" s="814"/>
      <c r="U546" s="814"/>
      <c r="V546" s="814"/>
      <c r="W546" s="814"/>
      <c r="X546" s="842"/>
      <c r="Y546" s="906">
        <f>Resume!O193</f>
        <v>0</v>
      </c>
      <c r="Z546" s="906"/>
      <c r="AA546" s="906"/>
      <c r="AB546" s="906"/>
      <c r="AC546" s="499"/>
    </row>
    <row r="547" spans="2:29" s="500" customFormat="1" ht="27" customHeight="1" x14ac:dyDescent="0.25">
      <c r="B547" s="651"/>
      <c r="C547" s="651"/>
      <c r="D547" s="651"/>
      <c r="E547" s="651"/>
      <c r="F547" s="651"/>
      <c r="G547" s="651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2"/>
      <c r="S547" s="813" t="s">
        <v>558</v>
      </c>
      <c r="T547" s="814"/>
      <c r="U547" s="814"/>
      <c r="V547" s="814"/>
      <c r="W547" s="814"/>
      <c r="X547" s="842"/>
      <c r="Y547" s="906">
        <f>Resume!O208</f>
        <v>0</v>
      </c>
      <c r="Z547" s="906"/>
      <c r="AA547" s="906"/>
      <c r="AB547" s="906"/>
      <c r="AC547" s="499"/>
    </row>
    <row r="548" spans="2:29" s="500" customFormat="1" ht="27" customHeight="1" x14ac:dyDescent="0.25">
      <c r="B548" s="658"/>
      <c r="C548" s="658"/>
      <c r="D548" s="658"/>
      <c r="E548" s="658"/>
      <c r="F548" s="658"/>
      <c r="G548" s="658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802" t="s">
        <v>19</v>
      </c>
      <c r="T548" s="803"/>
      <c r="U548" s="803"/>
      <c r="V548" s="803"/>
      <c r="W548" s="803"/>
      <c r="X548" s="804"/>
      <c r="Y548" s="905">
        <v>0</v>
      </c>
      <c r="Z548" s="905"/>
      <c r="AA548" s="905"/>
      <c r="AB548" s="905"/>
      <c r="AC548" s="499"/>
    </row>
    <row r="549" spans="2:29" s="500" customFormat="1" ht="27" customHeight="1" x14ac:dyDescent="0.25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805" t="s">
        <v>19</v>
      </c>
      <c r="T549" s="806"/>
      <c r="U549" s="806"/>
      <c r="V549" s="806"/>
      <c r="W549" s="806"/>
      <c r="X549" s="806"/>
      <c r="Y549" s="934">
        <v>0</v>
      </c>
      <c r="Z549" s="935"/>
      <c r="AA549" s="935"/>
      <c r="AB549" s="936"/>
      <c r="AC549" s="499"/>
    </row>
    <row r="550" spans="2:29" s="500" customFormat="1" ht="27" customHeight="1" x14ac:dyDescent="0.25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807" t="s">
        <v>15</v>
      </c>
      <c r="T550" s="808"/>
      <c r="U550" s="808"/>
      <c r="V550" s="808"/>
      <c r="W550" s="808"/>
      <c r="X550" s="809"/>
      <c r="Y550" s="931">
        <f>SUM(Y538:Y549)</f>
        <v>515.08999999999992</v>
      </c>
      <c r="Z550" s="932"/>
      <c r="AA550" s="932"/>
      <c r="AB550" s="933"/>
      <c r="AC550" s="499"/>
    </row>
    <row r="551" spans="2:29" s="500" customFormat="1" ht="27" customHeight="1" x14ac:dyDescent="0.25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810" t="s">
        <v>18</v>
      </c>
      <c r="T551" s="811"/>
      <c r="U551" s="811"/>
      <c r="V551" s="811"/>
      <c r="W551" s="811"/>
      <c r="X551" s="812"/>
      <c r="Y551" s="889">
        <f>IF(Y550&lt;100,25,0)</f>
        <v>0</v>
      </c>
      <c r="Z551" s="890"/>
      <c r="AA551" s="890"/>
      <c r="AB551" s="891"/>
      <c r="AC551" s="499"/>
    </row>
    <row r="552" spans="2:29" s="500" customFormat="1" ht="27" customHeight="1" x14ac:dyDescent="0.25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813" t="s">
        <v>20</v>
      </c>
      <c r="T552" s="814"/>
      <c r="U552" s="814"/>
      <c r="V552" s="814"/>
      <c r="W552" s="814"/>
      <c r="X552" s="814"/>
      <c r="Y552" s="892">
        <v>0</v>
      </c>
      <c r="Z552" s="893"/>
      <c r="AA552" s="893"/>
      <c r="AB552" s="894"/>
      <c r="AC552" s="499"/>
    </row>
    <row r="553" spans="2:29" s="500" customFormat="1" ht="27" customHeight="1" x14ac:dyDescent="0.25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805" t="s">
        <v>21</v>
      </c>
      <c r="T553" s="806"/>
      <c r="U553" s="806"/>
      <c r="V553" s="806"/>
      <c r="W553" s="806"/>
      <c r="X553" s="806"/>
      <c r="Y553" s="892">
        <v>0</v>
      </c>
      <c r="Z553" s="893"/>
      <c r="AA553" s="893"/>
      <c r="AB553" s="894"/>
      <c r="AC553" s="499"/>
    </row>
    <row r="554" spans="2:29" s="500" customFormat="1" ht="27" customHeight="1" x14ac:dyDescent="0.25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815" t="s">
        <v>6</v>
      </c>
      <c r="T554" s="816"/>
      <c r="U554" s="816"/>
      <c r="V554" s="816"/>
      <c r="W554" s="816"/>
      <c r="X554" s="817"/>
      <c r="Y554" s="886">
        <f>Y550+Y551+Y552+Y553</f>
        <v>515.08999999999992</v>
      </c>
      <c r="Z554" s="887"/>
      <c r="AA554" s="887"/>
      <c r="AB554" s="888"/>
      <c r="AC554" s="499"/>
    </row>
    <row r="557" spans="2:29" hidden="1" x14ac:dyDescent="0.25">
      <c r="D557" s="188" t="s">
        <v>446</v>
      </c>
    </row>
    <row r="558" spans="2:29" hidden="1" x14ac:dyDescent="0.25">
      <c r="D558" s="188" t="s">
        <v>447</v>
      </c>
    </row>
    <row r="559" spans="2:29" hidden="1" x14ac:dyDescent="0.25"/>
    <row r="560" spans="2:29" hidden="1" x14ac:dyDescent="0.25">
      <c r="D560" s="206" t="s">
        <v>490</v>
      </c>
    </row>
    <row r="561" spans="4:4" hidden="1" x14ac:dyDescent="0.25">
      <c r="D561" s="206" t="s">
        <v>491</v>
      </c>
    </row>
  </sheetData>
  <mergeCells count="1807"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N458:Q45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S368:V368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526:G526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X446:AA446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D445:G445"/>
    <mergeCell ref="X427:AA42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236:Q236"/>
    <mergeCell ref="N332:Q332"/>
    <mergeCell ref="S332:V332"/>
    <mergeCell ref="N334:Q334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X426:AA426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D237:G237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30 K508:L530 Z508:AA530 U508:V530 P508:Q530 U442:V442">
    <cfRule type="cellIs" dxfId="124" priority="74" operator="notEqual">
      <formula>0</formula>
    </cfRule>
  </conditionalFormatting>
  <conditionalFormatting sqref="H545">
    <cfRule type="expression" dxfId="123" priority="80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30 K508:L530 Z508:AA530 U508:V530 P508:Q530">
    <cfRule type="cellIs" dxfId="122" priority="66" operator="notEqual">
      <formula>0</formula>
    </cfRule>
  </conditionalFormatting>
  <conditionalFormatting sqref="Y551:AB551">
    <cfRule type="cellIs" dxfId="121" priority="59" operator="notEqual">
      <formula>0</formula>
    </cfRule>
  </conditionalFormatting>
  <conditionalFormatting sqref="Z306:AA306">
    <cfRule type="cellIs" dxfId="120" priority="56" operator="notEqual">
      <formula>0</formula>
    </cfRule>
  </conditionalFormatting>
  <conditionalFormatting sqref="Z306:AA306">
    <cfRule type="cellIs" dxfId="119" priority="55" operator="notEqual">
      <formula>0</formula>
    </cfRule>
  </conditionalFormatting>
  <conditionalFormatting sqref="Z351:AA351">
    <cfRule type="cellIs" dxfId="118" priority="54" operator="notEqual">
      <formula>0</formula>
    </cfRule>
  </conditionalFormatting>
  <conditionalFormatting sqref="Z351:AA351">
    <cfRule type="cellIs" dxfId="117" priority="53" operator="notEqual">
      <formula>0</formula>
    </cfRule>
  </conditionalFormatting>
  <conditionalFormatting sqref="U351:V351">
    <cfRule type="cellIs" dxfId="116" priority="52" operator="notEqual">
      <formula>0</formula>
    </cfRule>
  </conditionalFormatting>
  <conditionalFormatting sqref="U351:V351">
    <cfRule type="cellIs" dxfId="115" priority="51" operator="notEqual">
      <formula>0</formula>
    </cfRule>
  </conditionalFormatting>
  <conditionalFormatting sqref="Z453:AA453 K453:L453 F453:G453 U453:V453">
    <cfRule type="cellIs" dxfId="114" priority="50" operator="notEqual">
      <formula>0</formula>
    </cfRule>
  </conditionalFormatting>
  <conditionalFormatting sqref="Z453:AA453 K453:L453 F453:G453">
    <cfRule type="cellIs" dxfId="113" priority="49" operator="notEqual">
      <formula>0</formula>
    </cfRule>
  </conditionalFormatting>
  <conditionalFormatting sqref="F442:G442">
    <cfRule type="cellIs" dxfId="112" priority="48" operator="notEqual">
      <formula>0</formula>
    </cfRule>
  </conditionalFormatting>
  <conditionalFormatting sqref="F442:G442">
    <cfRule type="cellIs" dxfId="111" priority="47" operator="notEqual">
      <formula>0</formula>
    </cfRule>
  </conditionalFormatting>
  <conditionalFormatting sqref="K442:L442">
    <cfRule type="cellIs" dxfId="110" priority="46" operator="notEqual">
      <formula>0</formula>
    </cfRule>
  </conditionalFormatting>
  <conditionalFormatting sqref="K442:L442">
    <cfRule type="cellIs" dxfId="109" priority="45" operator="notEqual">
      <formula>0</formula>
    </cfRule>
  </conditionalFormatting>
  <conditionalFormatting sqref="U431:V431">
    <cfRule type="cellIs" dxfId="108" priority="44" operator="notEqual">
      <formula>0</formula>
    </cfRule>
  </conditionalFormatting>
  <conditionalFormatting sqref="U431:V431">
    <cfRule type="cellIs" dxfId="107" priority="43" operator="notEqual">
      <formula>0</formula>
    </cfRule>
  </conditionalFormatting>
  <conditionalFormatting sqref="U373:V373">
    <cfRule type="cellIs" dxfId="106" priority="42" operator="notEqual">
      <formula>0</formula>
    </cfRule>
  </conditionalFormatting>
  <conditionalFormatting sqref="U373:V373">
    <cfRule type="cellIs" dxfId="105" priority="41" operator="notEqual">
      <formula>0</formula>
    </cfRule>
  </conditionalFormatting>
  <conditionalFormatting sqref="U384:V384">
    <cfRule type="cellIs" dxfId="104" priority="40" operator="notEqual">
      <formula>0</formula>
    </cfRule>
  </conditionalFormatting>
  <conditionalFormatting sqref="U384:V384">
    <cfRule type="cellIs" dxfId="103" priority="39" operator="notEqual">
      <formula>0</formula>
    </cfRule>
  </conditionalFormatting>
  <conditionalFormatting sqref="Z317:AA317">
    <cfRule type="cellIs" dxfId="102" priority="33" operator="notEqual">
      <formula>0</formula>
    </cfRule>
  </conditionalFormatting>
  <conditionalFormatting sqref="F192:G192 K192:L192 P192:Q192 U192:V192 Z192:AA192">
    <cfRule type="cellIs" dxfId="101" priority="31" operator="notEqual">
      <formula>0</formula>
    </cfRule>
  </conditionalFormatting>
  <conditionalFormatting sqref="Z328:AA328">
    <cfRule type="cellIs" dxfId="100" priority="38" operator="notEqual">
      <formula>0</formula>
    </cfRule>
  </conditionalFormatting>
  <conditionalFormatting sqref="Z328:AA328">
    <cfRule type="cellIs" dxfId="99" priority="37" operator="notEqual">
      <formula>0</formula>
    </cfRule>
  </conditionalFormatting>
  <conditionalFormatting sqref="K317:L317">
    <cfRule type="cellIs" dxfId="98" priority="36" operator="notEqual">
      <formula>0</formula>
    </cfRule>
  </conditionalFormatting>
  <conditionalFormatting sqref="K317:L317">
    <cfRule type="cellIs" dxfId="97" priority="35" operator="notEqual">
      <formula>0</formula>
    </cfRule>
  </conditionalFormatting>
  <conditionalFormatting sqref="Z317:AA317">
    <cfRule type="cellIs" dxfId="96" priority="34" operator="notEqual">
      <formula>0</formula>
    </cfRule>
  </conditionalFormatting>
  <conditionalFormatting sqref="F192:G192 K192:L192 P192:Q192 U192:V192 Z192:AA192">
    <cfRule type="cellIs" dxfId="95" priority="32" operator="notEqual">
      <formula>0</formula>
    </cfRule>
  </conditionalFormatting>
  <conditionalFormatting sqref="F239:G239 K239:L239 P239:Q239">
    <cfRule type="cellIs" dxfId="94" priority="30" operator="notEqual">
      <formula>0</formula>
    </cfRule>
  </conditionalFormatting>
  <conditionalFormatting sqref="F239:G239 K239:L239 P239:Q239">
    <cfRule type="cellIs" dxfId="93" priority="29" operator="notEqual">
      <formula>0</formula>
    </cfRule>
  </conditionalFormatting>
  <conditionalFormatting sqref="Z182:AA182 U182:V182">
    <cfRule type="cellIs" dxfId="92" priority="28" operator="notEqual">
      <formula>0</formula>
    </cfRule>
  </conditionalFormatting>
  <conditionalFormatting sqref="Z182:AA182 U182:V182">
    <cfRule type="cellIs" dxfId="91" priority="27" operator="notEqual">
      <formula>0</formula>
    </cfRule>
  </conditionalFormatting>
  <conditionalFormatting sqref="P182:Q182">
    <cfRule type="cellIs" dxfId="90" priority="26" operator="notEqual">
      <formula>0</formula>
    </cfRule>
  </conditionalFormatting>
  <conditionalFormatting sqref="P182:Q182">
    <cfRule type="cellIs" dxfId="89" priority="25" operator="notEqual">
      <formula>0</formula>
    </cfRule>
  </conditionalFormatting>
  <conditionalFormatting sqref="K182:L182">
    <cfRule type="cellIs" dxfId="88" priority="24" operator="notEqual">
      <formula>0</formula>
    </cfRule>
  </conditionalFormatting>
  <conditionalFormatting sqref="K182:L182">
    <cfRule type="cellIs" dxfId="87" priority="23" operator="notEqual">
      <formula>0</formula>
    </cfRule>
  </conditionalFormatting>
  <conditionalFormatting sqref="P172:Q172">
    <cfRule type="cellIs" dxfId="86" priority="22" operator="notEqual">
      <formula>0</formula>
    </cfRule>
  </conditionalFormatting>
  <conditionalFormatting sqref="P172:Q172">
    <cfRule type="cellIs" dxfId="85" priority="21" operator="notEqual">
      <formula>0</formula>
    </cfRule>
  </conditionalFormatting>
  <conditionalFormatting sqref="Z228:AA228 U228:V228">
    <cfRule type="cellIs" dxfId="84" priority="20" operator="notEqual">
      <formula>0</formula>
    </cfRule>
  </conditionalFormatting>
  <conditionalFormatting sqref="Z228:AA228 U228:V228">
    <cfRule type="cellIs" dxfId="83" priority="19" operator="notEqual">
      <formula>0</formula>
    </cfRule>
  </conditionalFormatting>
  <conditionalFormatting sqref="P228:Q228">
    <cfRule type="cellIs" dxfId="82" priority="18" operator="notEqual">
      <formula>0</formula>
    </cfRule>
  </conditionalFormatting>
  <conditionalFormatting sqref="P228:Q228">
    <cfRule type="cellIs" dxfId="81" priority="17" operator="notEqual">
      <formula>0</formula>
    </cfRule>
  </conditionalFormatting>
  <conditionalFormatting sqref="K228:L228">
    <cfRule type="cellIs" dxfId="80" priority="16" operator="notEqual">
      <formula>0</formula>
    </cfRule>
  </conditionalFormatting>
  <conditionalFormatting sqref="K228:L228">
    <cfRule type="cellIs" dxfId="79" priority="15" operator="notEqual">
      <formula>0</formula>
    </cfRule>
  </conditionalFormatting>
  <conditionalFormatting sqref="P217:Q217">
    <cfRule type="cellIs" dxfId="78" priority="14" operator="notEqual">
      <formula>0</formula>
    </cfRule>
  </conditionalFormatting>
  <conditionalFormatting sqref="P217:Q217">
    <cfRule type="cellIs" dxfId="77" priority="13" operator="notEqual">
      <formula>0</formula>
    </cfRule>
  </conditionalFormatting>
  <conditionalFormatting sqref="F331:G339 K331:L339 U331:V339 P331:Q339">
    <cfRule type="cellIs" dxfId="76" priority="12" operator="notEqual">
      <formula>0</formula>
    </cfRule>
  </conditionalFormatting>
  <conditionalFormatting sqref="F331:G339 K331:L339 U331:V339 P331:Q339">
    <cfRule type="cellIs" dxfId="75" priority="11" operator="notEqual">
      <formula>0</formula>
    </cfRule>
  </conditionalFormatting>
  <conditionalFormatting sqref="F361:G361">
    <cfRule type="cellIs" dxfId="74" priority="10" operator="notEqual">
      <formula>0</formula>
    </cfRule>
  </conditionalFormatting>
  <conditionalFormatting sqref="F361:G361">
    <cfRule type="cellIs" dxfId="73" priority="9" operator="notEqual">
      <formula>0</formula>
    </cfRule>
  </conditionalFormatting>
  <conditionalFormatting sqref="Z431:AA431">
    <cfRule type="cellIs" dxfId="72" priority="4" operator="notEqual">
      <formula>0</formula>
    </cfRule>
  </conditionalFormatting>
  <conditionalFormatting sqref="Z431:AA431">
    <cfRule type="cellIs" dxfId="71" priority="3" operator="notEqual">
      <formula>0</formula>
    </cfRule>
  </conditionalFormatting>
  <conditionalFormatting sqref="U442:V442">
    <cfRule type="cellIs" dxfId="70" priority="2" operator="notEqual">
      <formula>0</formula>
    </cfRule>
  </conditionalFormatting>
  <conditionalFormatting sqref="U453:V453">
    <cfRule type="cellIs" dxfId="69" priority="1" operator="notEqual">
      <formula>0</formula>
    </cfRule>
  </conditionalFormatting>
  <dataValidations count="2">
    <dataValidation type="list" allowBlank="1" showInputMessage="1" showErrorMessage="1" sqref="H544:R544">
      <formula1>$D$556:$D$558</formula1>
    </dataValidation>
    <dataValidation type="list" allowBlank="1" showInputMessage="1" showErrorMessage="1" sqref="R546:R547 H546:Q546">
      <formula1>$D$560:$D$561</formula1>
    </dataValidation>
  </dataValidations>
  <hyperlinks>
    <hyperlink ref="N475:Q475" r:id="rId1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2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2"/>
  <sheetViews>
    <sheetView tabSelected="1" zoomScaleNormal="100" workbookViewId="0">
      <selection activeCell="C19" sqref="C19:E19"/>
    </sheetView>
  </sheetViews>
  <sheetFormatPr baseColWidth="10" defaultColWidth="9.33203125" defaultRowHeight="13.2" x14ac:dyDescent="0.25"/>
  <cols>
    <col min="1" max="1" width="1.6640625" style="517" customWidth="1"/>
    <col min="2" max="2" width="10.44140625" style="517" customWidth="1"/>
    <col min="3" max="3" width="16.44140625" style="517" customWidth="1"/>
    <col min="4" max="4" width="25.33203125" style="517" customWidth="1"/>
    <col min="5" max="5" width="23.33203125" style="517" customWidth="1"/>
    <col min="6" max="6" width="15.33203125" style="517" customWidth="1"/>
    <col min="7" max="7" width="14.5546875" style="517" customWidth="1"/>
    <col min="8" max="8" width="9.33203125" style="516" customWidth="1"/>
    <col min="9" max="9" width="16.6640625" style="516" customWidth="1"/>
    <col min="10" max="10" width="19.5546875" style="516" customWidth="1"/>
    <col min="11" max="11" width="11.44140625" style="516" customWidth="1"/>
    <col min="12" max="12" width="22.5546875" style="516" customWidth="1"/>
    <col min="13" max="13" width="12.5546875" style="516" customWidth="1"/>
    <col min="14" max="14" width="10" style="516" customWidth="1"/>
    <col min="15" max="15" width="9.33203125" style="516" customWidth="1"/>
    <col min="16" max="16" width="7.6640625" style="516" customWidth="1"/>
    <col min="17" max="17" width="8.5546875" style="516" customWidth="1"/>
    <col min="18" max="18" width="20.5546875" style="516" customWidth="1"/>
    <col min="19" max="19" width="10.5546875" style="516" customWidth="1"/>
    <col min="20" max="20" width="8.5546875" style="516" customWidth="1"/>
    <col min="21" max="21" width="10" style="516" customWidth="1"/>
    <col min="22" max="22" width="13.44140625" style="516" customWidth="1"/>
    <col min="23" max="23" width="14" style="516" customWidth="1"/>
    <col min="24" max="24" width="6.5546875" style="516" customWidth="1"/>
    <col min="25" max="27" width="12.5546875" style="516" customWidth="1"/>
    <col min="28" max="28" width="71.5546875" style="516" customWidth="1"/>
    <col min="29" max="29" width="50.44140625" style="517" customWidth="1"/>
    <col min="30" max="53" width="9.33203125" style="517" customWidth="1"/>
    <col min="54" max="16384" width="9.33203125" style="517"/>
  </cols>
  <sheetData>
    <row r="1" spans="1:13" ht="13.2" customHeight="1" x14ac:dyDescent="0.4">
      <c r="A1" s="514"/>
      <c r="B1" s="515"/>
      <c r="C1" s="514"/>
      <c r="D1" s="514"/>
      <c r="E1" s="1164" t="s">
        <v>30</v>
      </c>
      <c r="F1" s="1165"/>
      <c r="G1" s="1165"/>
    </row>
    <row r="2" spans="1:13" ht="13.2" customHeight="1" x14ac:dyDescent="0.4">
      <c r="A2" s="514"/>
      <c r="B2" s="515"/>
      <c r="C2" s="514"/>
      <c r="D2" s="514"/>
      <c r="E2" s="1165"/>
      <c r="F2" s="1165"/>
      <c r="G2" s="1165"/>
      <c r="I2" s="518"/>
    </row>
    <row r="3" spans="1:13" ht="23.7" customHeight="1" x14ac:dyDescent="0.25">
      <c r="A3" s="514"/>
      <c r="B3" s="519" t="s">
        <v>440</v>
      </c>
      <c r="C3" s="520"/>
      <c r="D3" s="1"/>
      <c r="E3" s="514"/>
      <c r="F3" s="521" t="s">
        <v>31</v>
      </c>
      <c r="G3" s="630"/>
    </row>
    <row r="4" spans="1:13" ht="12.45" customHeight="1" x14ac:dyDescent="0.25">
      <c r="A4" s="514"/>
      <c r="B4" s="3" t="str">
        <f>VLOOKUP(B3,B82:E85,2)</f>
        <v>1355 Magenta Est</v>
      </c>
      <c r="C4" s="1"/>
      <c r="D4" s="1"/>
      <c r="E4" s="514"/>
      <c r="F4" s="522"/>
      <c r="G4" s="523"/>
    </row>
    <row r="5" spans="1:13" ht="12.45" customHeight="1" x14ac:dyDescent="0.25">
      <c r="A5" s="514"/>
      <c r="B5" s="3" t="str">
        <f>VLOOKUP(B3,B82:E85,3)</f>
        <v>Farnham, QC, J2N1C4</v>
      </c>
      <c r="C5" s="1"/>
      <c r="D5" s="520"/>
      <c r="E5" s="514"/>
      <c r="F5" s="524" t="s">
        <v>32</v>
      </c>
      <c r="G5" s="525">
        <f ca="1">TODAY()</f>
        <v>43144</v>
      </c>
    </row>
    <row r="6" spans="1:13" ht="12.45" customHeight="1" x14ac:dyDescent="0.25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 until:</v>
      </c>
      <c r="G6" s="525">
        <f ca="1">G5+45</f>
        <v>43189</v>
      </c>
      <c r="I6" s="526"/>
    </row>
    <row r="7" spans="1:13" ht="8.6999999999999993" customHeight="1" x14ac:dyDescent="0.25">
      <c r="A7" s="514"/>
      <c r="B7" s="527"/>
      <c r="C7" s="514"/>
      <c r="D7" s="514"/>
      <c r="E7" s="514"/>
      <c r="F7" s="514"/>
      <c r="G7" s="514"/>
    </row>
    <row r="8" spans="1:13" ht="12.45" customHeight="1" x14ac:dyDescent="0.25">
      <c r="A8" s="514"/>
      <c r="B8" s="528" t="str">
        <f>VLOOKUP(E1,B89:W91,2)</f>
        <v>Customer:</v>
      </c>
      <c r="C8" s="1166">
        <f>'Order form'!H539</f>
        <v>0</v>
      </c>
      <c r="D8" s="1166"/>
      <c r="E8" s="530" t="str">
        <f>VLOOKUP(E1,B89:W91,5)</f>
        <v>Salesperson:</v>
      </c>
      <c r="F8" s="514"/>
      <c r="G8" s="1"/>
      <c r="I8" s="56"/>
      <c r="J8" s="18"/>
      <c r="K8" s="18"/>
      <c r="L8" s="531"/>
      <c r="M8" s="18"/>
    </row>
    <row r="9" spans="1:13" ht="12.45" customHeight="1" x14ac:dyDescent="0.25">
      <c r="A9" s="514"/>
      <c r="B9" s="528" t="str">
        <f>VLOOKUP(E1,B89:W91,3)</f>
        <v>Company:</v>
      </c>
      <c r="C9" s="1167">
        <f>'Order form'!H538</f>
        <v>0</v>
      </c>
      <c r="D9" s="1167"/>
      <c r="E9" s="530" t="str">
        <f>VLOOKUP(E1,B89:W91,6)</f>
        <v>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5" customHeight="1" x14ac:dyDescent="0.25">
      <c r="A10" s="514"/>
      <c r="B10" s="528"/>
      <c r="C10" s="622"/>
      <c r="D10" s="622"/>
      <c r="E10" s="530" t="s">
        <v>516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5" customHeight="1" x14ac:dyDescent="0.25">
      <c r="A11" s="514"/>
      <c r="B11" s="533"/>
      <c r="C11" s="528"/>
      <c r="D11" s="528"/>
      <c r="E11" s="530" t="str">
        <f>VLOOKUP(E1,B89:W91,7)</f>
        <v>Mobile: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5" customHeight="1" x14ac:dyDescent="0.25">
      <c r="A12" s="514"/>
      <c r="B12" s="534"/>
      <c r="C12" s="528"/>
      <c r="D12" s="528"/>
      <c r="E12" s="530" t="str">
        <f>VLOOKUP(E1,B89:W91,8)</f>
        <v>Email: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5" customHeight="1" x14ac:dyDescent="0.25">
      <c r="A13" s="514"/>
      <c r="B13" s="528"/>
      <c r="C13" s="528"/>
      <c r="D13" s="528"/>
      <c r="E13" s="530" t="str">
        <f>VLOOKUP(E1,B89:W91,9)</f>
        <v>Website:</v>
      </c>
      <c r="F13" s="9" t="s">
        <v>40</v>
      </c>
      <c r="G13" s="536"/>
      <c r="I13" s="56"/>
      <c r="J13" s="18"/>
      <c r="K13" s="18"/>
      <c r="L13" s="531"/>
      <c r="M13" s="18"/>
    </row>
    <row r="14" spans="1:13" ht="4.2" customHeight="1" x14ac:dyDescent="0.25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 x14ac:dyDescent="0.25">
      <c r="A15" s="514"/>
      <c r="B15" s="1168" t="str">
        <f>VLOOKUP(E1,B89:W91,10)</f>
        <v>FREIGHT DETAILS</v>
      </c>
      <c r="C15" s="1169"/>
      <c r="D15" s="1170"/>
      <c r="E15" s="1171" t="str">
        <f>VLOOKUP(E1,B89:W91,11)</f>
        <v>LEAD TIME</v>
      </c>
      <c r="F15" s="1172"/>
      <c r="G15" s="539" t="str">
        <f>VLOOKUP(E1,B89:W91,12)</f>
        <v>TERMS</v>
      </c>
    </row>
    <row r="16" spans="1:13" x14ac:dyDescent="0.25">
      <c r="A16" s="514"/>
      <c r="B16" s="1159"/>
      <c r="C16" s="1160"/>
      <c r="D16" s="1161"/>
      <c r="E16" s="1162"/>
      <c r="F16" s="1163"/>
      <c r="G16" s="540"/>
      <c r="I16" s="526"/>
    </row>
    <row r="17" spans="1:30" ht="6" customHeight="1" x14ac:dyDescent="0.25">
      <c r="A17" s="514"/>
      <c r="B17" s="541"/>
      <c r="C17" s="541"/>
      <c r="D17" s="541"/>
      <c r="E17" s="542"/>
      <c r="F17" s="542"/>
      <c r="G17" s="543"/>
      <c r="I17" s="526"/>
    </row>
    <row r="18" spans="1:30" x14ac:dyDescent="0.25">
      <c r="A18" s="514"/>
      <c r="B18" s="571" t="str">
        <f>VLOOKUP(E1,B89:W91,13)</f>
        <v>QUANTITY</v>
      </c>
      <c r="C18" s="572" t="str">
        <f>VLOOKUP(E1,B89:W91,22)</f>
        <v>PART #</v>
      </c>
      <c r="D18" s="1154" t="str">
        <f>VLOOKUP(E1,B89:W91,14)</f>
        <v>DESCRIPTION</v>
      </c>
      <c r="E18" s="1155"/>
      <c r="F18" s="571" t="str">
        <f>VLOOKUP(E1,B89:W91,15)</f>
        <v>UNIT PRICE</v>
      </c>
      <c r="G18" s="571" t="s">
        <v>60</v>
      </c>
    </row>
    <row r="19" spans="1:30" ht="13.95" customHeight="1" x14ac:dyDescent="0.25">
      <c r="A19" s="514"/>
      <c r="B19" s="544"/>
      <c r="C19" s="1156" t="s">
        <v>932</v>
      </c>
      <c r="D19" s="1157"/>
      <c r="E19" s="1158"/>
      <c r="F19" s="544"/>
      <c r="G19" s="545"/>
      <c r="K19" s="546"/>
      <c r="L19" s="546"/>
    </row>
    <row r="20" spans="1:30" s="550" customFormat="1" ht="12.75" customHeight="1" x14ac:dyDescent="0.25">
      <c r="A20" s="547"/>
      <c r="B20" s="548">
        <f>IFERROR(INDEX(Resume!$C$3:$F$213,MATCH(ROW($B1),Resume!$N$3:$N$213,0),MATCH(Quotation!B$18,Resume!$C$2:$F$2,0)),"")</f>
        <v>16</v>
      </c>
      <c r="C20" s="10" t="str">
        <f>IFERROR(INDEX(Resume!$C$3:$F$213,MATCH(ROW($B1),Resume!$N$3:$N$213,0),MATCH(Quotation!C$18,Resume!$C$2:$F$2,0)),"")</f>
        <v>P-96-BL</v>
      </c>
      <c r="D20" s="1152" t="str">
        <f>IFERROR(INDEX(Resume!$C$3:$F$213,MATCH(ROW($B1),Resume!$N$3:$N$213,0),MATCH(Quotation!D$18,Resume!$C$2:$F$2,0)),"")</f>
        <v>Blue 8' steel pipe PE coated</v>
      </c>
      <c r="E20" s="1153"/>
      <c r="F20" s="642">
        <f>IFERROR(INDEX(Resume!$C$3:$F$213,MATCH(ROW($B1),Resume!$N$3:$N$213,0),MATCH(Quotation!F$18,Resume!$C$2:$F$2,0)),"")</f>
        <v>7.95</v>
      </c>
      <c r="G20" s="643">
        <f t="shared" ref="G20:G58" si="0">IFERROR(F20*B20,"")</f>
        <v>127.2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 x14ac:dyDescent="0.25">
      <c r="A21" s="514"/>
      <c r="B21" s="548">
        <f>IFERROR(INDEX(Resume!$C$3:$F$213,MATCH(ROW($B2),Resume!$N$3:$N$213,0),MATCH(Quotation!B$18,Resume!$C$2:$F$2,0)),"")</f>
        <v>225</v>
      </c>
      <c r="C21" s="10" t="str">
        <f>IFERROR(INDEX(Resume!$C$3:$F$213,MATCH(ROW($B2),Resume!$N$3:$N$213,0),MATCH(Quotation!C$18,Resume!$C$2:$F$2,0)),"")</f>
        <v>H-1</v>
      </c>
      <c r="D21" s="1152" t="str">
        <f>IFERROR(INDEX(Resume!$C$3:$F$213,MATCH(ROW($B2),Resume!$N$3:$N$213,0),MATCH(Quotation!D$18,Resume!$C$2:$F$2,0)),"")</f>
        <v>Standard tee joint steel black</v>
      </c>
      <c r="E21" s="1153"/>
      <c r="F21" s="642">
        <f>IFERROR(INDEX(Resume!$C$3:$F$213,MATCH(ROW($B2),Resume!$N$3:$N$213,0),MATCH(Quotation!F$18,Resume!$C$2:$F$2,0)),"")</f>
        <v>0.55000000000000004</v>
      </c>
      <c r="G21" s="643">
        <f t="shared" si="0"/>
        <v>123.75000000000001</v>
      </c>
      <c r="K21" s="546"/>
      <c r="L21" s="546"/>
    </row>
    <row r="22" spans="1:30" x14ac:dyDescent="0.25">
      <c r="A22" s="514"/>
      <c r="B22" s="548">
        <f>IFERROR(INDEX(Resume!$C$3:$F$213,MATCH(ROW($B3),Resume!$N$3:$N$213,0),MATCH(Quotation!B$18,Resume!$C$2:$F$2,0)),"")</f>
        <v>50</v>
      </c>
      <c r="C22" s="10" t="str">
        <f>IFERROR(INDEX(Resume!$C$3:$F$213,MATCH(ROW($B3),Resume!$N$3:$N$213,0),MATCH(Quotation!C$18,Resume!$C$2:$F$2,0)),"")</f>
        <v>H-2</v>
      </c>
      <c r="D22" s="1152" t="str">
        <f>IFERROR(INDEX(Resume!$C$3:$F$213,MATCH(ROW($B3),Resume!$N$3:$N$213,0),MATCH(Quotation!D$18,Resume!$C$2:$F$2,0)),"")</f>
        <v>Inner corner joint steel black</v>
      </c>
      <c r="E22" s="1153"/>
      <c r="F22" s="642">
        <f>IFERROR(INDEX(Resume!$C$3:$F$213,MATCH(ROW($B3),Resume!$N$3:$N$213,0),MATCH(Quotation!F$18,Resume!$C$2:$F$2,0)),"")</f>
        <v>0.9</v>
      </c>
      <c r="G22" s="643">
        <f t="shared" si="0"/>
        <v>45</v>
      </c>
      <c r="I22" s="526"/>
    </row>
    <row r="23" spans="1:30" x14ac:dyDescent="0.25">
      <c r="A23" s="514"/>
      <c r="B23" s="548">
        <f>IFERROR(INDEX(Resume!$C$3:$F$213,MATCH(ROW($B4),Resume!$N$3:$N$213,0),MATCH(Quotation!B$18,Resume!$C$2:$F$2,0)),"")</f>
        <v>50</v>
      </c>
      <c r="C23" s="10" t="str">
        <f>IFERROR(INDEX(Resume!$C$3:$F$213,MATCH(ROW($B4),Resume!$N$3:$N$213,0),MATCH(Quotation!C$18,Resume!$C$2:$F$2,0)),"")</f>
        <v>H-3</v>
      </c>
      <c r="D23" s="1152" t="str">
        <f>IFERROR(INDEX(Resume!$C$3:$F$213,MATCH(ROW($B4),Resume!$N$3:$N$213,0),MATCH(Quotation!D$18,Resume!$C$2:$F$2,0)),"")</f>
        <v>Outer corner joint steel black</v>
      </c>
      <c r="E23" s="1153"/>
      <c r="F23" s="642">
        <f>IFERROR(INDEX(Resume!$C$3:$F$213,MATCH(ROW($B4),Resume!$N$3:$N$213,0),MATCH(Quotation!F$18,Resume!$C$2:$F$2,0)),"")</f>
        <v>0.95</v>
      </c>
      <c r="G23" s="643">
        <f t="shared" si="0"/>
        <v>47.5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 x14ac:dyDescent="0.25">
      <c r="A24" s="514"/>
      <c r="B24" s="548">
        <f>IFERROR(INDEX(Resume!$C$3:$F$213,MATCH(ROW($B5),Resume!$N$3:$N$213,0),MATCH(Quotation!B$18,Resume!$C$2:$F$2,0)),"")</f>
        <v>8</v>
      </c>
      <c r="C24" s="10" t="str">
        <f>IFERROR(INDEX(Resume!$C$3:$F$213,MATCH(ROW($B5),Resume!$N$3:$N$213,0),MATCH(Quotation!C$18,Resume!$C$2:$F$2,0)),"")</f>
        <v>H-4</v>
      </c>
      <c r="D24" s="1152" t="str">
        <f>IFERROR(INDEX(Resume!$C$3:$F$213,MATCH(ROW($B5),Resume!$N$3:$N$213,0),MATCH(Quotation!D$18,Resume!$C$2:$F$2,0)),"")</f>
        <v>Cross junction joint steel black</v>
      </c>
      <c r="E24" s="1153"/>
      <c r="F24" s="642">
        <f>IFERROR(INDEX(Resume!$C$3:$F$213,MATCH(ROW($B5),Resume!$N$3:$N$213,0),MATCH(Quotation!F$18,Resume!$C$2:$F$2,0)),"")</f>
        <v>0.85</v>
      </c>
      <c r="G24" s="643">
        <f t="shared" si="0"/>
        <v>6.8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 x14ac:dyDescent="0.25">
      <c r="A25" s="514"/>
      <c r="B25" s="548">
        <f>IFERROR(INDEX(Resume!$C$3:$F$213,MATCH(ROW($B6),Resume!$N$3:$N$213,0),MATCH(Quotation!B$18,Resume!$C$2:$F$2,0)),"")</f>
        <v>10</v>
      </c>
      <c r="C25" s="10" t="str">
        <f>IFERROR(INDEX(Resume!$C$3:$F$213,MATCH(ROW($B6),Resume!$N$3:$N$213,0),MATCH(Quotation!C$18,Resume!$C$2:$F$2,0)),"")</f>
        <v>H-5</v>
      </c>
      <c r="D25" s="1152" t="str">
        <f>IFERROR(INDEX(Resume!$C$3:$F$213,MATCH(ROW($B6),Resume!$N$3:$N$213,0),MATCH(Quotation!D$18,Resume!$C$2:$F$2,0)),"")</f>
        <v>Pivot point joint steel black</v>
      </c>
      <c r="E25" s="1153"/>
      <c r="F25" s="642">
        <f>IFERROR(INDEX(Resume!$C$3:$F$213,MATCH(ROW($B6),Resume!$N$3:$N$213,0),MATCH(Quotation!F$18,Resume!$C$2:$F$2,0)),"")</f>
        <v>0.55000000000000004</v>
      </c>
      <c r="G25" s="643">
        <f t="shared" si="0"/>
        <v>5.5</v>
      </c>
    </row>
    <row r="26" spans="1:30" x14ac:dyDescent="0.25">
      <c r="A26" s="514"/>
      <c r="B26" s="548">
        <f>IFERROR(INDEX(Resume!$C$3:$F$213,MATCH(ROW($B7),Resume!$N$3:$N$213,0),MATCH(Quotation!B$18,Resume!$C$2:$F$2,0)),"")</f>
        <v>10</v>
      </c>
      <c r="C26" s="10" t="str">
        <f>IFERROR(INDEX(Resume!$C$3:$F$213,MATCH(ROW($B7),Resume!$N$3:$N$213,0),MATCH(Quotation!C$18,Resume!$C$2:$F$2,0)),"")</f>
        <v>H-6</v>
      </c>
      <c r="D26" s="1152" t="str">
        <f>IFERROR(INDEX(Resume!$C$3:$F$213,MATCH(ROW($B7),Resume!$N$3:$N$213,0),MATCH(Quotation!D$18,Resume!$C$2:$F$2,0)),"")</f>
        <v>Pivot extension steel black</v>
      </c>
      <c r="E26" s="1153"/>
      <c r="F26" s="642">
        <f>IFERROR(INDEX(Resume!$C$3:$F$213,MATCH(ROW($B7),Resume!$N$3:$N$213,0),MATCH(Quotation!F$18,Resume!$C$2:$F$2,0)),"")</f>
        <v>0.55000000000000004</v>
      </c>
      <c r="G26" s="643">
        <f t="shared" si="0"/>
        <v>5.5</v>
      </c>
      <c r="I26" s="526"/>
    </row>
    <row r="27" spans="1:30" s="550" customFormat="1" ht="12.75" customHeight="1" x14ac:dyDescent="0.25">
      <c r="A27" s="547"/>
      <c r="B27" s="548">
        <f>IFERROR(INDEX(Resume!$C$3:$F$213,MATCH(ROW($B8),Resume!$N$3:$N$213,0),MATCH(Quotation!B$18,Resume!$C$2:$F$2,0)),"")</f>
        <v>20</v>
      </c>
      <c r="C27" s="10" t="str">
        <f>IFERROR(INDEX(Resume!$C$3:$F$213,MATCH(ROW($B8),Resume!$N$3:$N$213,0),MATCH(Quotation!C$18,Resume!$C$2:$F$2,0)),"")</f>
        <v>H-7</v>
      </c>
      <c r="D27" s="1152" t="str">
        <f>IFERROR(INDEX(Resume!$C$3:$F$213,MATCH(ROW($B8),Resume!$N$3:$N$213,0),MATCH(Quotation!D$18,Resume!$C$2:$F$2,0)),"")</f>
        <v>Intersection joint steel black</v>
      </c>
      <c r="E27" s="1153"/>
      <c r="F27" s="642">
        <f>IFERROR(INDEX(Resume!$C$3:$F$213,MATCH(ROW($B8),Resume!$N$3:$N$213,0),MATCH(Quotation!F$18,Resume!$C$2:$F$2,0)),"")</f>
        <v>0.55000000000000004</v>
      </c>
      <c r="G27" s="643">
        <f t="shared" si="0"/>
        <v>11</v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 x14ac:dyDescent="0.25">
      <c r="A28" s="514"/>
      <c r="B28" s="548">
        <f>IFERROR(INDEX(Resume!$C$3:$F$213,MATCH(ROW($B9),Resume!$N$3:$N$213,0),MATCH(Quotation!B$18,Resume!$C$2:$F$2,0)),"")</f>
        <v>10</v>
      </c>
      <c r="C28" s="10" t="str">
        <f>IFERROR(INDEX(Resume!$C$3:$F$213,MATCH(ROW($B9),Resume!$N$3:$N$213,0),MATCH(Quotation!C$18,Resume!$C$2:$F$2,0)),"")</f>
        <v>AP-ICAP</v>
      </c>
      <c r="D28" s="1152" t="str">
        <f>IFERROR(INDEX(Resume!$C$3:$F$213,MATCH(ROW($B9),Resume!$N$3:$N$213,0),MATCH(Quotation!D$18,Resume!$C$2:$F$2,0)),"")</f>
        <v>End cap plastic bk</v>
      </c>
      <c r="E28" s="1153"/>
      <c r="F28" s="642">
        <f>IFERROR(INDEX(Resume!$C$3:$F$213,MATCH(ROW($B9),Resume!$N$3:$N$213,0),MATCH(Quotation!F$18,Resume!$C$2:$F$2,0)),"")</f>
        <v>0.13</v>
      </c>
      <c r="G28" s="643">
        <f t="shared" si="0"/>
        <v>1.3</v>
      </c>
    </row>
    <row r="29" spans="1:30" x14ac:dyDescent="0.25">
      <c r="A29" s="514"/>
      <c r="B29" s="548">
        <f>IFERROR(INDEX(Resume!$C$3:$F$213,MATCH(ROW($B10),Resume!$N$3:$N$213,0),MATCH(Quotation!B$18,Resume!$C$2:$F$2,0)),"")</f>
        <v>4</v>
      </c>
      <c r="C29" s="10" t="str">
        <f>IFERROR(INDEX(Resume!$C$3:$F$213,MATCH(ROW($B10),Resume!$N$3:$N$213,0),MATCH(Quotation!C$18,Resume!$C$2:$F$2,0)),"")</f>
        <v>AF-ILEV</v>
      </c>
      <c r="D29" s="1152" t="str">
        <f>IFERROR(INDEX(Resume!$C$3:$F$213,MATCH(ROW($B10),Resume!$N$3:$N$213,0),MATCH(Quotation!D$18,Resume!$C$2:$F$2,0)),"")</f>
        <v>Adjust. inner foot steel zinc</v>
      </c>
      <c r="E29" s="1153"/>
      <c r="F29" s="642">
        <f>IFERROR(INDEX(Resume!$C$3:$F$213,MATCH(ROW($B10),Resume!$N$3:$N$213,0),MATCH(Quotation!F$18,Resume!$C$2:$F$2,0)),"")</f>
        <v>2.25</v>
      </c>
      <c r="G29" s="643">
        <f t="shared" si="0"/>
        <v>9</v>
      </c>
    </row>
    <row r="30" spans="1:30" x14ac:dyDescent="0.25">
      <c r="A30" s="514"/>
      <c r="B30" s="548">
        <f>IFERROR(INDEX(Resume!$C$3:$F$213,MATCH(ROW($B11),Resume!$N$3:$N$213,0),MATCH(Quotation!B$18,Resume!$C$2:$F$2,0)),"")</f>
        <v>8</v>
      </c>
      <c r="C30" s="10" t="str">
        <f>IFERROR(INDEX(Resume!$C$3:$F$213,MATCH(ROW($B11),Resume!$N$3:$N$213,0),MATCH(Quotation!C$18,Resume!$C$2:$F$2,0)),"")</f>
        <v>AO-SHIM</v>
      </c>
      <c r="D30" s="1152" t="str">
        <f>IFERROR(INDEX(Resume!$C$3:$F$213,MATCH(ROW($B11),Resume!$N$3:$N$213,0),MATCH(Quotation!D$18,Resume!$C$2:$F$2,0)),"")</f>
        <v>Leveling shim plastic bk</v>
      </c>
      <c r="E30" s="1153"/>
      <c r="F30" s="642">
        <f>IFERROR(INDEX(Resume!$C$3:$F$213,MATCH(ROW($B11),Resume!$N$3:$N$213,0),MATCH(Quotation!F$18,Resume!$C$2:$F$2,0)),"")</f>
        <v>0.13</v>
      </c>
      <c r="G30" s="643">
        <f t="shared" si="0"/>
        <v>1.04</v>
      </c>
    </row>
    <row r="31" spans="1:30" x14ac:dyDescent="0.25">
      <c r="A31" s="514"/>
      <c r="B31" s="548">
        <f>IFERROR(INDEX(Resume!$C$3:$F$213,MATCH(ROW($B12),Resume!$N$3:$N$213,0),MATCH(Quotation!B$18,Resume!$C$2:$F$2,0)),"")</f>
        <v>250</v>
      </c>
      <c r="C31" s="10" t="str">
        <f>IFERROR(INDEX(Resume!$C$3:$F$213,MATCH(ROW($B12),Resume!$N$3:$N$213,0),MATCH(Quotation!C$18,Resume!$C$2:$F$2,0)),"")</f>
        <v>M6-25B</v>
      </c>
      <c r="D31" s="1152" t="str">
        <f>IFERROR(INDEX(Resume!$C$3:$F$213,MATCH(ROW($B12),Resume!$N$3:$N$213,0),MATCH(Quotation!D$18,Resume!$C$2:$F$2,0)),"")</f>
        <v>Bolt for joint set black zinc</v>
      </c>
      <c r="E31" s="1153"/>
      <c r="F31" s="642">
        <f>IFERROR(INDEX(Resume!$C$3:$F$213,MATCH(ROW($B12),Resume!$N$3:$N$213,0),MATCH(Quotation!F$18,Resume!$C$2:$F$2,0)),"")</f>
        <v>0.08</v>
      </c>
      <c r="G31" s="643">
        <f t="shared" si="0"/>
        <v>20</v>
      </c>
    </row>
    <row r="32" spans="1:30" x14ac:dyDescent="0.25">
      <c r="A32" s="514"/>
      <c r="B32" s="548">
        <f>IFERROR(INDEX(Resume!$C$3:$F$213,MATCH(ROW($B13),Resume!$N$3:$N$213,0),MATCH(Quotation!B$18,Resume!$C$2:$F$2,0)),"")</f>
        <v>250</v>
      </c>
      <c r="C32" s="10" t="str">
        <f>IFERROR(INDEX(Resume!$C$3:$F$213,MATCH(ROW($B13),Resume!$N$3:$N$213,0),MATCH(Quotation!C$18,Resume!$C$2:$F$2,0)),"")</f>
        <v>M6-N</v>
      </c>
      <c r="D32" s="1152" t="str">
        <f>IFERROR(INDEX(Resume!$C$3:$F$213,MATCH(ROW($B13),Resume!$N$3:$N$213,0),MATCH(Quotation!D$18,Resume!$C$2:$F$2,0)),"")</f>
        <v>Nut for joint set black zinc</v>
      </c>
      <c r="E32" s="1153"/>
      <c r="F32" s="642">
        <f>IFERROR(INDEX(Resume!$C$3:$F$213,MATCH(ROW($B13),Resume!$N$3:$N$213,0),MATCH(Quotation!F$18,Resume!$C$2:$F$2,0)),"")</f>
        <v>7.0000000000000007E-2</v>
      </c>
      <c r="G32" s="643">
        <f t="shared" si="0"/>
        <v>17.5</v>
      </c>
    </row>
    <row r="33" spans="1:10" x14ac:dyDescent="0.25">
      <c r="A33" s="514"/>
      <c r="B33" s="548">
        <f>IFERROR(INDEX(Resume!$C$3:$F$213,MATCH(ROW($B14),Resume!$N$3:$N$213,0),MATCH(Quotation!B$18,Resume!$C$2:$F$2,0)),"")</f>
        <v>8</v>
      </c>
      <c r="C33" s="10" t="str">
        <f>IFERROR(INDEX(Resume!$C$3:$F$213,MATCH(ROW($B14),Resume!$N$3:$N$213,0),MATCH(Quotation!C$18,Resume!$C$2:$F$2,0)),"")</f>
        <v>WF-UP</v>
      </c>
      <c r="D33" s="1152" t="str">
        <f>IFERROR(INDEX(Resume!$C$3:$F$213,MATCH(ROW($B14),Resume!$N$3:$N$213,0),MATCH(Quotation!D$18,Resume!$C$2:$F$2,0)),"")</f>
        <v>Caster up bracket steel zinc</v>
      </c>
      <c r="E33" s="1153"/>
      <c r="F33" s="642">
        <f>IFERROR(INDEX(Resume!$C$3:$F$213,MATCH(ROW($B14),Resume!$N$3:$N$213,0),MATCH(Quotation!F$18,Resume!$C$2:$F$2,0)),"")</f>
        <v>0.8</v>
      </c>
      <c r="G33" s="643">
        <f t="shared" si="0"/>
        <v>6.4</v>
      </c>
    </row>
    <row r="34" spans="1:10" x14ac:dyDescent="0.25">
      <c r="A34" s="514"/>
      <c r="B34" s="548">
        <f>IFERROR(INDEX(Resume!$C$3:$F$213,MATCH(ROW($B15),Resume!$N$3:$N$213,0),MATCH(Quotation!B$18,Resume!$C$2:$F$2,0)),"")</f>
        <v>8</v>
      </c>
      <c r="C34" s="10" t="str">
        <f>IFERROR(INDEX(Resume!$C$3:$F$213,MATCH(ROW($B15),Resume!$N$3:$N$213,0),MATCH(Quotation!C$18,Resume!$C$2:$F$2,0)),"")</f>
        <v>WF-LOW</v>
      </c>
      <c r="D34" s="1152" t="str">
        <f>IFERROR(INDEX(Resume!$C$3:$F$213,MATCH(ROW($B15),Resume!$N$3:$N$213,0),MATCH(Quotation!D$18,Resume!$C$2:$F$2,0)),"")</f>
        <v>Caster low bracket steel zinc</v>
      </c>
      <c r="E34" s="1153"/>
      <c r="F34" s="642">
        <f>IFERROR(INDEX(Resume!$C$3:$F$213,MATCH(ROW($B15),Resume!$N$3:$N$213,0),MATCH(Quotation!F$18,Resume!$C$2:$F$2,0)),"")</f>
        <v>0.8</v>
      </c>
      <c r="G34" s="643">
        <f t="shared" si="0"/>
        <v>6.4</v>
      </c>
      <c r="I34" s="526"/>
    </row>
    <row r="35" spans="1:10" x14ac:dyDescent="0.25">
      <c r="A35" s="514"/>
      <c r="B35" s="548">
        <f>IFERROR(INDEX(Resume!$C$3:$F$213,MATCH(ROW($B16),Resume!$N$3:$N$213,0),MATCH(Quotation!B$18,Resume!$C$2:$F$2,0)),"")</f>
        <v>16</v>
      </c>
      <c r="C35" s="10" t="str">
        <f>IFERROR(INDEX(Resume!$C$3:$F$213,MATCH(ROW($B16),Resume!$N$3:$N$213,0),MATCH(Quotation!C$18,Resume!$C$2:$F$2,0)),"")</f>
        <v>M8-40B</v>
      </c>
      <c r="D35" s="1152" t="str">
        <f>IFERROR(INDEX(Resume!$C$3:$F$213,MATCH(ROW($B16),Resume!$N$3:$N$213,0),MATCH(Quotation!D$18,Resume!$C$2:$F$2,0)),"")</f>
        <v>Bolt for caster white zinc</v>
      </c>
      <c r="E35" s="1153"/>
      <c r="F35" s="642">
        <f>IFERROR(INDEX(Resume!$C$3:$F$213,MATCH(ROW($B16),Resume!$N$3:$N$213,0),MATCH(Quotation!F$18,Resume!$C$2:$F$2,0)),"")</f>
        <v>0.15</v>
      </c>
      <c r="G35" s="643">
        <f t="shared" si="0"/>
        <v>2.4</v>
      </c>
    </row>
    <row r="36" spans="1:10" x14ac:dyDescent="0.25">
      <c r="A36" s="514"/>
      <c r="B36" s="548">
        <f>IFERROR(INDEX(Resume!$C$3:$F$213,MATCH(ROW($B17),Resume!$N$3:$N$213,0),MATCH(Quotation!B$18,Resume!$C$2:$F$2,0)),"")</f>
        <v>16</v>
      </c>
      <c r="C36" s="10" t="str">
        <f>IFERROR(INDEX(Resume!$C$3:$F$213,MATCH(ROW($B17),Resume!$N$3:$N$213,0),MATCH(Quotation!C$18,Resume!$C$2:$F$2,0)),"")</f>
        <v>M8-N</v>
      </c>
      <c r="D36" s="1152" t="str">
        <f>IFERROR(INDEX(Resume!$C$3:$F$213,MATCH(ROW($B17),Resume!$N$3:$N$213,0),MATCH(Quotation!D$18,Resume!$C$2:$F$2,0)),"")</f>
        <v>Lock nut for caster white zinc</v>
      </c>
      <c r="E36" s="1153"/>
      <c r="F36" s="642">
        <f>IFERROR(INDEX(Resume!$C$3:$F$213,MATCH(ROW($B17),Resume!$N$3:$N$213,0),MATCH(Quotation!F$18,Resume!$C$2:$F$2,0)),"")</f>
        <v>0.05</v>
      </c>
      <c r="G36" s="643">
        <f t="shared" si="0"/>
        <v>0.8</v>
      </c>
    </row>
    <row r="37" spans="1:10" x14ac:dyDescent="0.25">
      <c r="A37" s="514"/>
      <c r="B37" s="548">
        <f>IFERROR(INDEX(Resume!$C$3:$F$213,MATCH(ROW($B18),Resume!$N$3:$N$213,0),MATCH(Quotation!B$18,Resume!$C$2:$F$2,0)),"")</f>
        <v>4</v>
      </c>
      <c r="C37" s="10" t="str">
        <f>IFERROR(INDEX(Resume!$C$3:$F$213,MATCH(ROW($B18),Resume!$N$3:$N$213,0),MATCH(Quotation!C$18,Resume!$C$2:$F$2,0)),"")</f>
        <v>W-3ESB</v>
      </c>
      <c r="D37" s="1152" t="str">
        <f>IFERROR(INDEX(Resume!$C$3:$F$213,MATCH(ROW($B18),Resume!$N$3:$N$213,0),MATCH(Quotation!D$18,Resume!$C$2:$F$2,0)),"")</f>
        <v>3'' Swivel stem caster brake</v>
      </c>
      <c r="E37" s="1153"/>
      <c r="F37" s="642">
        <f>IFERROR(INDEX(Resume!$C$3:$F$213,MATCH(ROW($B18),Resume!$N$3:$N$213,0),MATCH(Quotation!F$18,Resume!$C$2:$F$2,0)),"")</f>
        <v>9</v>
      </c>
      <c r="G37" s="643">
        <f t="shared" si="0"/>
        <v>36</v>
      </c>
    </row>
    <row r="38" spans="1:10" x14ac:dyDescent="0.25">
      <c r="A38" s="514"/>
      <c r="B38" s="548">
        <f>IFERROR(INDEX(Resume!$C$3:$F$213,MATCH(ROW($B19),Resume!$N$3:$N$213,0),MATCH(Quotation!B$18,Resume!$C$2:$F$2,0)),"")</f>
        <v>4</v>
      </c>
      <c r="C38" s="10" t="str">
        <f>IFERROR(INDEX(Resume!$C$3:$F$213,MATCH(ROW($B19),Resume!$N$3:$N$213,0),MATCH(Quotation!C$18,Resume!$C$2:$F$2,0)),"")</f>
        <v>W-4PSB</v>
      </c>
      <c r="D38" s="1152" t="str">
        <f>IFERROR(INDEX(Resume!$C$3:$F$213,MATCH(ROW($B19),Resume!$N$3:$N$213,0),MATCH(Quotation!D$18,Resume!$C$2:$F$2,0)),"")</f>
        <v>4'' Swivel plate caster brake</v>
      </c>
      <c r="E38" s="1153"/>
      <c r="F38" s="642">
        <f>IFERROR(INDEX(Resume!$C$3:$F$213,MATCH(ROW($B19),Resume!$N$3:$N$213,0),MATCH(Quotation!F$18,Resume!$C$2:$F$2,0)),"")</f>
        <v>10.5</v>
      </c>
      <c r="G38" s="643">
        <f t="shared" si="0"/>
        <v>42</v>
      </c>
    </row>
    <row r="39" spans="1:10" x14ac:dyDescent="0.25">
      <c r="A39" s="514"/>
      <c r="B39" s="548" t="str">
        <f>IFERROR(INDEX(Resume!$C$3:$F$213,MATCH(ROW($B20),Resume!$N$3:$N$213,0),MATCH(Quotation!B$18,Resume!$C$2:$F$2,0)),"")</f>
        <v/>
      </c>
      <c r="C39" s="10" t="str">
        <f>IFERROR(INDEX(Resume!$C$3:$F$213,MATCH(ROW($B20),Resume!$N$3:$N$213,0),MATCH(Quotation!C$18,Resume!$C$2:$F$2,0)),"")</f>
        <v/>
      </c>
      <c r="D39" s="1152" t="str">
        <f>IFERROR(INDEX(Resume!$C$3:$F$213,MATCH(ROW($B20),Resume!$N$3:$N$213,0),MATCH(Quotation!D$18,Resume!$C$2:$F$2,0)),"")</f>
        <v/>
      </c>
      <c r="E39" s="1153"/>
      <c r="F39" s="642" t="str">
        <f>IFERROR(INDEX(Resume!$C$3:$F$213,MATCH(ROW($B20),Resume!$N$3:$N$213,0),MATCH(Quotation!F$18,Resume!$C$2:$F$2,0)),"")</f>
        <v/>
      </c>
      <c r="G39" s="643" t="str">
        <f t="shared" si="0"/>
        <v/>
      </c>
    </row>
    <row r="40" spans="1:10" x14ac:dyDescent="0.25">
      <c r="A40" s="514"/>
      <c r="B40" s="548" t="str">
        <f>IFERROR(INDEX(Resume!$C$3:$F$213,MATCH(ROW($B21),Resume!$N$3:$N$213,0),MATCH(Quotation!B$18,Resume!$C$2:$F$2,0)),"")</f>
        <v/>
      </c>
      <c r="C40" s="10" t="str">
        <f>IFERROR(INDEX(Resume!$C$3:$F$213,MATCH(ROW($B21),Resume!$N$3:$N$213,0),MATCH(Quotation!C$18,Resume!$C$2:$F$2,0)),"")</f>
        <v/>
      </c>
      <c r="D40" s="1152" t="str">
        <f>IFERROR(INDEX(Resume!$C$3:$F$213,MATCH(ROW($B21),Resume!$N$3:$N$213,0),MATCH(Quotation!D$18,Resume!$C$2:$F$2,0)),"")</f>
        <v/>
      </c>
      <c r="E40" s="1153"/>
      <c r="F40" s="642" t="str">
        <f>IFERROR(INDEX(Resume!$C$3:$F$213,MATCH(ROW($B21),Resume!$N$3:$N$213,0),MATCH(Quotation!F$18,Resume!$C$2:$F$2,0)),"")</f>
        <v/>
      </c>
      <c r="G40" s="643" t="str">
        <f t="shared" si="0"/>
        <v/>
      </c>
    </row>
    <row r="41" spans="1:10" x14ac:dyDescent="0.25">
      <c r="A41" s="514"/>
      <c r="B41" s="548" t="str">
        <f>IFERROR(INDEX(Resume!$C$3:$F$213,MATCH(ROW($B22),Resume!$N$3:$N$213,0),MATCH(Quotation!B$18,Resume!$C$2:$F$2,0)),"")</f>
        <v/>
      </c>
      <c r="C41" s="10" t="str">
        <f>IFERROR(INDEX(Resume!$C$3:$F$213,MATCH(ROW($B22),Resume!$N$3:$N$213,0),MATCH(Quotation!C$18,Resume!$C$2:$F$2,0)),"")</f>
        <v/>
      </c>
      <c r="D41" s="1152" t="str">
        <f>IFERROR(INDEX(Resume!$C$3:$F$213,MATCH(ROW($B22),Resume!$N$3:$N$213,0),MATCH(Quotation!D$18,Resume!$C$2:$F$2,0)),"")</f>
        <v/>
      </c>
      <c r="E41" s="1153"/>
      <c r="F41" s="642" t="str">
        <f>IFERROR(INDEX(Resume!$C$3:$F$213,MATCH(ROW($B22),Resume!$N$3:$N$213,0),MATCH(Quotation!F$18,Resume!$C$2:$F$2,0)),"")</f>
        <v/>
      </c>
      <c r="G41" s="643" t="str">
        <f t="shared" si="0"/>
        <v/>
      </c>
      <c r="I41" s="526"/>
    </row>
    <row r="42" spans="1:10" x14ac:dyDescent="0.25">
      <c r="A42" s="514"/>
      <c r="B42" s="548" t="str">
        <f>IFERROR(INDEX(Resume!$C$3:$F$213,MATCH(ROW($B23),Resume!$N$3:$N$213,0),MATCH(Quotation!B$18,Resume!$C$2:$F$2,0)),"")</f>
        <v/>
      </c>
      <c r="C42" s="10" t="str">
        <f>IFERROR(INDEX(Resume!$C$3:$F$213,MATCH(ROW($B23),Resume!$N$3:$N$213,0),MATCH(Quotation!C$18,Resume!$C$2:$F$2,0)),"")</f>
        <v/>
      </c>
      <c r="D42" s="1152" t="str">
        <f>IFERROR(INDEX(Resume!$C$3:$F$213,MATCH(ROW($B23),Resume!$N$3:$N$213,0),MATCH(Quotation!D$18,Resume!$C$2:$F$2,0)),"")</f>
        <v/>
      </c>
      <c r="E42" s="1153"/>
      <c r="F42" s="642" t="str">
        <f>IFERROR(INDEX(Resume!$C$3:$F$213,MATCH(ROW($B23),Resume!$N$3:$N$213,0),MATCH(Quotation!F$18,Resume!$C$2:$F$2,0)),"")</f>
        <v/>
      </c>
      <c r="G42" s="643" t="str">
        <f t="shared" si="0"/>
        <v/>
      </c>
      <c r="I42" s="526"/>
    </row>
    <row r="43" spans="1:10" x14ac:dyDescent="0.25">
      <c r="A43" s="514"/>
      <c r="B43" s="548" t="str">
        <f>IFERROR(INDEX(Resume!$C$3:$F$213,MATCH(ROW($B24),Resume!$N$3:$N$213,0),MATCH(Quotation!B$18,Resume!$C$2:$F$2,0)),"")</f>
        <v/>
      </c>
      <c r="C43" s="10" t="str">
        <f>IFERROR(INDEX(Resume!$C$3:$F$213,MATCH(ROW($B24),Resume!$N$3:$N$213,0),MATCH(Quotation!C$18,Resume!$C$2:$F$2,0)),"")</f>
        <v/>
      </c>
      <c r="D43" s="1152" t="str">
        <f>IFERROR(INDEX(Resume!$C$3:$F$213,MATCH(ROW($B24),Resume!$N$3:$N$213,0),MATCH(Quotation!D$18,Resume!$C$2:$F$2,0)),"")</f>
        <v/>
      </c>
      <c r="E43" s="1153"/>
      <c r="F43" s="642" t="str">
        <f>IFERROR(INDEX(Resume!$C$3:$F$213,MATCH(ROW($B24),Resume!$N$3:$N$213,0),MATCH(Quotation!F$18,Resume!$C$2:$F$2,0)),"")</f>
        <v/>
      </c>
      <c r="G43" s="643" t="str">
        <f t="shared" si="0"/>
        <v/>
      </c>
      <c r="I43" s="526"/>
    </row>
    <row r="44" spans="1:10" x14ac:dyDescent="0.25">
      <c r="A44" s="514"/>
      <c r="B44" s="548" t="str">
        <f>IFERROR(INDEX(Resume!$C$3:$F$213,MATCH(ROW($B25),Resume!$N$3:$N$213,0),MATCH(Quotation!B$18,Resume!$C$2:$F$2,0)),"")</f>
        <v/>
      </c>
      <c r="C44" s="10" t="str">
        <f>IFERROR(INDEX(Resume!$C$3:$F$213,MATCH(ROW($B25),Resume!$N$3:$N$213,0),MATCH(Quotation!C$18,Resume!$C$2:$F$2,0)),"")</f>
        <v/>
      </c>
      <c r="D44" s="1152" t="str">
        <f>IFERROR(INDEX(Resume!$C$3:$F$213,MATCH(ROW($B25),Resume!$N$3:$N$213,0),MATCH(Quotation!D$18,Resume!$C$2:$F$2,0)),"")</f>
        <v/>
      </c>
      <c r="E44" s="1153"/>
      <c r="F44" s="642" t="str">
        <f>IFERROR(INDEX(Resume!$C$3:$F$213,MATCH(ROW($B25),Resume!$N$3:$N$213,0),MATCH(Quotation!F$18,Resume!$C$2:$F$2,0)),"")</f>
        <v/>
      </c>
      <c r="G44" s="643" t="str">
        <f t="shared" si="0"/>
        <v/>
      </c>
      <c r="I44" s="526"/>
    </row>
    <row r="45" spans="1:10" x14ac:dyDescent="0.25">
      <c r="A45" s="514"/>
      <c r="B45" s="548" t="str">
        <f>IFERROR(INDEX(Resume!$C$3:$F$213,MATCH(ROW($B26),Resume!$N$3:$N$213,0),MATCH(Quotation!B$18,Resume!$C$2:$F$2,0)),"")</f>
        <v/>
      </c>
      <c r="C45" s="10" t="str">
        <f>IFERROR(INDEX(Resume!$C$3:$F$213,MATCH(ROW($B26),Resume!$N$3:$N$213,0),MATCH(Quotation!C$18,Resume!$C$2:$F$2,0)),"")</f>
        <v/>
      </c>
      <c r="D45" s="1152" t="str">
        <f>IFERROR(INDEX(Resume!$C$3:$F$213,MATCH(ROW($B26),Resume!$N$3:$N$213,0),MATCH(Quotation!D$18,Resume!$C$2:$F$2,0)),"")</f>
        <v/>
      </c>
      <c r="E45" s="1153"/>
      <c r="F45" s="642" t="str">
        <f>IFERROR(INDEX(Resume!$C$3:$F$213,MATCH(ROW($B26),Resume!$N$3:$N$213,0),MATCH(Quotation!F$18,Resume!$C$2:$F$2,0)),"")</f>
        <v/>
      </c>
      <c r="G45" s="643" t="str">
        <f t="shared" si="0"/>
        <v/>
      </c>
    </row>
    <row r="46" spans="1:10" x14ac:dyDescent="0.25">
      <c r="A46" s="514"/>
      <c r="B46" s="548" t="str">
        <f>IFERROR(INDEX(Resume!$C$3:$F$213,MATCH(ROW($B27),Resume!$N$3:$N$213,0),MATCH(Quotation!B$18,Resume!$C$2:$F$2,0)),"")</f>
        <v/>
      </c>
      <c r="C46" s="10" t="str">
        <f>IFERROR(INDEX(Resume!$C$3:$F$213,MATCH(ROW($B27),Resume!$N$3:$N$213,0),MATCH(Quotation!C$18,Resume!$C$2:$F$2,0)),"")</f>
        <v/>
      </c>
      <c r="D46" s="1152" t="str">
        <f>IFERROR(INDEX(Resume!$C$3:$F$213,MATCH(ROW($B27),Resume!$N$3:$N$213,0),MATCH(Quotation!D$18,Resume!$C$2:$F$2,0)),"")</f>
        <v/>
      </c>
      <c r="E46" s="1153"/>
      <c r="F46" s="642" t="str">
        <f>IFERROR(INDEX(Resume!$C$3:$F$213,MATCH(ROW($B27),Resume!$N$3:$N$213,0),MATCH(Quotation!F$18,Resume!$C$2:$F$2,0)),"")</f>
        <v/>
      </c>
      <c r="G46" s="643" t="str">
        <f t="shared" si="0"/>
        <v/>
      </c>
      <c r="I46" s="552"/>
      <c r="J46" s="552"/>
    </row>
    <row r="47" spans="1:10" x14ac:dyDescent="0.25">
      <c r="A47" s="514"/>
      <c r="B47" s="548" t="str">
        <f>IFERROR(INDEX(Resume!$C$3:$F$213,MATCH(ROW($B28),Resume!$N$3:$N$213,0),MATCH(Quotation!B$18,Resume!$C$2:$F$2,0)),"")</f>
        <v/>
      </c>
      <c r="C47" s="10" t="str">
        <f>IFERROR(INDEX(Resume!$C$3:$F$213,MATCH(ROW($B28),Resume!$N$3:$N$213,0),MATCH(Quotation!C$18,Resume!$C$2:$F$2,0)),"")</f>
        <v/>
      </c>
      <c r="D47" s="1152" t="str">
        <f>IFERROR(INDEX(Resume!$C$3:$F$213,MATCH(ROW($B28),Resume!$N$3:$N$213,0),MATCH(Quotation!D$18,Resume!$C$2:$F$2,0)),"")</f>
        <v/>
      </c>
      <c r="E47" s="1153"/>
      <c r="F47" s="642" t="str">
        <f>IFERROR(INDEX(Resume!$C$3:$F$213,MATCH(ROW($B28),Resume!$N$3:$N$213,0),MATCH(Quotation!F$18,Resume!$C$2:$F$2,0)),"")</f>
        <v/>
      </c>
      <c r="G47" s="643" t="str">
        <f t="shared" si="0"/>
        <v/>
      </c>
      <c r="I47" s="552"/>
      <c r="J47" s="552"/>
    </row>
    <row r="48" spans="1:10" x14ac:dyDescent="0.25">
      <c r="A48" s="514"/>
      <c r="B48" s="548" t="str">
        <f>IFERROR(INDEX(Resume!$C$3:$F$213,MATCH(ROW($B29),Resume!$N$3:$N$213,0),MATCH(Quotation!B$18,Resume!$C$2:$F$2,0)),"")</f>
        <v/>
      </c>
      <c r="C48" s="10" t="str">
        <f>IFERROR(INDEX(Resume!$C$3:$F$213,MATCH(ROW($B29),Resume!$N$3:$N$213,0),MATCH(Quotation!C$18,Resume!$C$2:$F$2,0)),"")</f>
        <v/>
      </c>
      <c r="D48" s="1152" t="str">
        <f>IFERROR(INDEX(Resume!$C$3:$F$213,MATCH(ROW($B29),Resume!$N$3:$N$213,0),MATCH(Quotation!D$18,Resume!$C$2:$F$2,0)),"")</f>
        <v/>
      </c>
      <c r="E48" s="1153"/>
      <c r="F48" s="642" t="str">
        <f>IFERROR(INDEX(Resume!$C$3:$F$213,MATCH(ROW($B29),Resume!$N$3:$N$213,0),MATCH(Quotation!F$18,Resume!$C$2:$F$2,0)),"")</f>
        <v/>
      </c>
      <c r="G48" s="643" t="str">
        <f t="shared" si="0"/>
        <v/>
      </c>
      <c r="I48" s="552"/>
      <c r="J48" s="552"/>
    </row>
    <row r="49" spans="1:10" x14ac:dyDescent="0.25">
      <c r="A49" s="514"/>
      <c r="B49" s="548" t="str">
        <f>IFERROR(INDEX(Resume!$C$3:$F$213,MATCH(ROW($B30),Resume!$N$3:$N$213,0),MATCH(Quotation!B$18,Resume!$C$2:$F$2,0)),"")</f>
        <v/>
      </c>
      <c r="C49" s="10" t="str">
        <f>IFERROR(INDEX(Resume!$C$3:$F$213,MATCH(ROW($B30),Resume!$N$3:$N$213,0),MATCH(Quotation!C$18,Resume!$C$2:$F$2,0)),"")</f>
        <v/>
      </c>
      <c r="D49" s="1152" t="str">
        <f>IFERROR(INDEX(Resume!$C$3:$F$213,MATCH(ROW($B30),Resume!$N$3:$N$213,0),MATCH(Quotation!D$18,Resume!$C$2:$F$2,0)),"")</f>
        <v/>
      </c>
      <c r="E49" s="1153"/>
      <c r="F49" s="642" t="str">
        <f>IFERROR(INDEX(Resume!$C$3:$F$213,MATCH(ROW($B30),Resume!$N$3:$N$213,0),MATCH(Quotation!F$18,Resume!$C$2:$F$2,0)),"")</f>
        <v/>
      </c>
      <c r="G49" s="643" t="str">
        <f t="shared" si="0"/>
        <v/>
      </c>
      <c r="I49" s="552"/>
      <c r="J49" s="552"/>
    </row>
    <row r="50" spans="1:10" x14ac:dyDescent="0.25">
      <c r="A50" s="514"/>
      <c r="B50" s="548" t="str">
        <f>IFERROR(INDEX(Resume!$C$3:$F$213,MATCH(ROW($B31),Resume!$N$3:$N$213,0),MATCH(Quotation!B$18,Resume!$C$2:$F$2,0)),"")</f>
        <v/>
      </c>
      <c r="C50" s="10" t="str">
        <f>IFERROR(INDEX(Resume!$C$3:$F$213,MATCH(ROW($B31),Resume!$N$3:$N$213,0),MATCH(Quotation!C$18,Resume!$C$2:$F$2,0)),"")</f>
        <v/>
      </c>
      <c r="D50" s="1152" t="str">
        <f>IFERROR(INDEX(Resume!$C$3:$F$213,MATCH(ROW($B31),Resume!$N$3:$N$213,0),MATCH(Quotation!D$18,Resume!$C$2:$F$2,0)),"")</f>
        <v/>
      </c>
      <c r="E50" s="1153"/>
      <c r="F50" s="642" t="str">
        <f>IFERROR(INDEX(Resume!$C$3:$F$213,MATCH(ROW($B31),Resume!$N$3:$N$213,0),MATCH(Quotation!F$18,Resume!$C$2:$F$2,0)),"")</f>
        <v/>
      </c>
      <c r="G50" s="643" t="str">
        <f t="shared" si="0"/>
        <v/>
      </c>
      <c r="I50" s="552"/>
      <c r="J50" s="552"/>
    </row>
    <row r="51" spans="1:10" x14ac:dyDescent="0.25">
      <c r="A51" s="514"/>
      <c r="B51" s="548" t="str">
        <f>IFERROR(INDEX(Resume!$C$3:$F$213,MATCH(ROW($B32),Resume!$N$3:$N$213,0),MATCH(Quotation!B$18,Resume!$C$2:$F$2,0)),"")</f>
        <v/>
      </c>
      <c r="C51" s="10" t="str">
        <f>IFERROR(INDEX(Resume!$C$3:$F$213,MATCH(ROW($B32),Resume!$N$3:$N$213,0),MATCH(Quotation!C$18,Resume!$C$2:$F$2,0)),"")</f>
        <v/>
      </c>
      <c r="D51" s="1152" t="str">
        <f>IFERROR(INDEX(Resume!$C$3:$F$213,MATCH(ROW($B32),Resume!$N$3:$N$213,0),MATCH(Quotation!D$18,Resume!$C$2:$F$2,0)),"")</f>
        <v/>
      </c>
      <c r="E51" s="1153"/>
      <c r="F51" s="642" t="str">
        <f>IFERROR(INDEX(Resume!$C$3:$F$213,MATCH(ROW($B32),Resume!$N$3:$N$213,0),MATCH(Quotation!F$18,Resume!$C$2:$F$2,0)),"")</f>
        <v/>
      </c>
      <c r="G51" s="643" t="str">
        <f t="shared" si="0"/>
        <v/>
      </c>
      <c r="I51" s="552"/>
      <c r="J51" s="552"/>
    </row>
    <row r="52" spans="1:10" x14ac:dyDescent="0.25">
      <c r="A52" s="514"/>
      <c r="B52" s="548" t="str">
        <f>IFERROR(INDEX(Resume!$C$3:$F$213,MATCH(ROW($B33),Resume!$N$3:$N$213,0),MATCH(Quotation!B$18,Resume!$C$2:$F$2,0)),"")</f>
        <v/>
      </c>
      <c r="C52" s="10" t="str">
        <f>IFERROR(INDEX(Resume!$C$3:$F$213,MATCH(ROW($B33),Resume!$N$3:$N$213,0),MATCH(Quotation!C$18,Resume!$C$2:$F$2,0)),"")</f>
        <v/>
      </c>
      <c r="D52" s="1152" t="str">
        <f>IFERROR(INDEX(Resume!$C$3:$F$213,MATCH(ROW($B33),Resume!$N$3:$N$213,0),MATCH(Quotation!D$18,Resume!$C$2:$F$2,0)),"")</f>
        <v/>
      </c>
      <c r="E52" s="1153"/>
      <c r="F52" s="642" t="str">
        <f>IFERROR(INDEX(Resume!$C$3:$F$213,MATCH(ROW($B33),Resume!$N$3:$N$213,0),MATCH(Quotation!F$18,Resume!$C$2:$F$2,0)),"")</f>
        <v/>
      </c>
      <c r="G52" s="643" t="str">
        <f t="shared" si="0"/>
        <v/>
      </c>
      <c r="I52" s="552"/>
      <c r="J52" s="552"/>
    </row>
    <row r="53" spans="1:10" x14ac:dyDescent="0.25">
      <c r="A53" s="514"/>
      <c r="B53" s="548" t="str">
        <f>IFERROR(INDEX(Resume!$C$3:$F$213,MATCH(ROW($B34),Resume!$N$3:$N$213,0),MATCH(Quotation!B$18,Resume!$C$2:$F$2,0)),"")</f>
        <v/>
      </c>
      <c r="C53" s="10" t="str">
        <f>IFERROR(INDEX(Resume!$C$3:$F$213,MATCH(ROW($B34),Resume!$N$3:$N$213,0),MATCH(Quotation!C$18,Resume!$C$2:$F$2,0)),"")</f>
        <v/>
      </c>
      <c r="D53" s="1152" t="str">
        <f>IFERROR(INDEX(Resume!$C$3:$F$213,MATCH(ROW($B34),Resume!$N$3:$N$213,0),MATCH(Quotation!D$18,Resume!$C$2:$F$2,0)),"")</f>
        <v/>
      </c>
      <c r="E53" s="1153"/>
      <c r="F53" s="642" t="str">
        <f>IFERROR(INDEX(Resume!$C$3:$F$213,MATCH(ROW($B34),Resume!$N$3:$N$213,0),MATCH(Quotation!F$18,Resume!$C$2:$F$2,0)),"")</f>
        <v/>
      </c>
      <c r="G53" s="643" t="str">
        <f t="shared" si="0"/>
        <v/>
      </c>
      <c r="I53" s="552"/>
      <c r="J53" s="552"/>
    </row>
    <row r="54" spans="1:10" x14ac:dyDescent="0.25">
      <c r="A54" s="514"/>
      <c r="B54" s="548" t="str">
        <f>IFERROR(INDEX(Resume!$C$3:$F$213,MATCH(ROW($B35),Resume!$N$3:$N$213,0),MATCH(Quotation!B$18,Resume!$C$2:$F$2,0)),"")</f>
        <v/>
      </c>
      <c r="C54" s="10" t="str">
        <f>IFERROR(INDEX(Resume!$C$3:$F$213,MATCH(ROW($B35),Resume!$N$3:$N$213,0),MATCH(Quotation!C$18,Resume!$C$2:$F$2,0)),"")</f>
        <v/>
      </c>
      <c r="D54" s="1152" t="str">
        <f>IFERROR(INDEX(Resume!$C$3:$F$213,MATCH(ROW($B35),Resume!$N$3:$N$213,0),MATCH(Quotation!D$18,Resume!$C$2:$F$2,0)),"")</f>
        <v/>
      </c>
      <c r="E54" s="1153"/>
      <c r="F54" s="642" t="str">
        <f>IFERROR(INDEX(Resume!$C$3:$F$213,MATCH(ROW($B35),Resume!$N$3:$N$213,0),MATCH(Quotation!F$18,Resume!$C$2:$F$2,0)),"")</f>
        <v/>
      </c>
      <c r="G54" s="643" t="str">
        <f t="shared" si="0"/>
        <v/>
      </c>
      <c r="I54" s="552"/>
      <c r="J54" s="552"/>
    </row>
    <row r="55" spans="1:10" x14ac:dyDescent="0.25">
      <c r="A55" s="514"/>
      <c r="B55" s="548" t="str">
        <f>IFERROR(INDEX(Resume!$C$3:$F$213,MATCH(ROW($B36),Resume!$N$3:$N$213,0),MATCH(Quotation!B$18,Resume!$C$2:$F$2,0)),"")</f>
        <v/>
      </c>
      <c r="C55" s="10" t="str">
        <f>IFERROR(INDEX(Resume!$C$3:$F$213,MATCH(ROW($B36),Resume!$N$3:$N$213,0),MATCH(Quotation!C$18,Resume!$C$2:$F$2,0)),"")</f>
        <v/>
      </c>
      <c r="D55" s="1152" t="str">
        <f>IFERROR(INDEX(Resume!$C$3:$F$213,MATCH(ROW($B36),Resume!$N$3:$N$213,0),MATCH(Quotation!D$18,Resume!$C$2:$F$2,0)),"")</f>
        <v/>
      </c>
      <c r="E55" s="1153"/>
      <c r="F55" s="642" t="str">
        <f>IFERROR(INDEX(Resume!$C$3:$F$213,MATCH(ROW($B36),Resume!$N$3:$N$213,0),MATCH(Quotation!F$18,Resume!$C$2:$F$2,0)),"")</f>
        <v/>
      </c>
      <c r="G55" s="643" t="str">
        <f t="shared" si="0"/>
        <v/>
      </c>
      <c r="I55" s="552"/>
      <c r="J55" s="552"/>
    </row>
    <row r="56" spans="1:10" x14ac:dyDescent="0.25">
      <c r="A56" s="514"/>
      <c r="B56" s="548" t="str">
        <f>IFERROR(INDEX(Resume!$C$3:$F$213,MATCH(ROW($B37),Resume!$N$3:$N$213,0),MATCH(Quotation!B$18,Resume!$C$2:$F$2,0)),"")</f>
        <v/>
      </c>
      <c r="C56" s="10" t="str">
        <f>IFERROR(INDEX(Resume!$C$3:$F$213,MATCH(ROW($B37),Resume!$N$3:$N$213,0),MATCH(Quotation!C$18,Resume!$C$2:$F$2,0)),"")</f>
        <v/>
      </c>
      <c r="D56" s="1152" t="str">
        <f>IFERROR(INDEX(Resume!$C$3:$F$213,MATCH(ROW($B37),Resume!$N$3:$N$213,0),MATCH(Quotation!D$18,Resume!$C$2:$F$2,0)),"")</f>
        <v/>
      </c>
      <c r="E56" s="1153"/>
      <c r="F56" s="642" t="str">
        <f>IFERROR(INDEX(Resume!$C$3:$F$213,MATCH(ROW($B37),Resume!$N$3:$N$213,0),MATCH(Quotation!F$18,Resume!$C$2:$F$2,0)),"")</f>
        <v/>
      </c>
      <c r="G56" s="643" t="str">
        <f t="shared" si="0"/>
        <v/>
      </c>
      <c r="I56" s="552"/>
      <c r="J56" s="552"/>
    </row>
    <row r="57" spans="1:10" x14ac:dyDescent="0.25">
      <c r="A57" s="514"/>
      <c r="B57" s="548" t="str">
        <f>IFERROR(INDEX(Resume!$C$3:$F$213,MATCH(ROW($B38),Resume!$N$3:$N$213,0),MATCH(Quotation!B$18,Resume!$C$2:$F$2,0)),"")</f>
        <v/>
      </c>
      <c r="C57" s="10" t="str">
        <f>IFERROR(INDEX(Resume!$C$3:$F$213,MATCH(ROW($B38),Resume!$N$3:$N$213,0),MATCH(Quotation!C$18,Resume!$C$2:$F$2,0)),"")</f>
        <v/>
      </c>
      <c r="D57" s="1152" t="str">
        <f>IFERROR(INDEX(Resume!$C$3:$F$213,MATCH(ROW($B38),Resume!$N$3:$N$213,0),MATCH(Quotation!D$18,Resume!$C$2:$F$2,0)),"")</f>
        <v/>
      </c>
      <c r="E57" s="1153"/>
      <c r="F57" s="642" t="str">
        <f>IFERROR(INDEX(Resume!$C$3:$F$213,MATCH(ROW($B38),Resume!$N$3:$N$213,0),MATCH(Quotation!F$18,Resume!$C$2:$F$2,0)),"")</f>
        <v/>
      </c>
      <c r="G57" s="643" t="str">
        <f t="shared" si="0"/>
        <v/>
      </c>
      <c r="I57" s="552"/>
      <c r="J57" s="552"/>
    </row>
    <row r="58" spans="1:10" x14ac:dyDescent="0.25">
      <c r="A58" s="514"/>
      <c r="B58" s="548" t="str">
        <f>IFERROR(INDEX(Resume!$C$3:$F$213,MATCH(ROW($B39),Resume!$N$3:$N$213,0),MATCH(Quotation!B$18,Resume!$C$2:$F$2,0)),"")</f>
        <v/>
      </c>
      <c r="C58" s="10" t="str">
        <f>IFERROR(INDEX(Resume!$C$3:$F$213,MATCH(ROW($B39),Resume!$N$3:$N$213,0),MATCH(Quotation!C$18,Resume!$C$2:$F$2,0)),"")</f>
        <v/>
      </c>
      <c r="D58" s="1152" t="str">
        <f>IFERROR(INDEX(Resume!$C$3:$F$213,MATCH(ROW($B39),Resume!$N$3:$N$213,0),MATCH(Quotation!D$18,Resume!$C$2:$F$2,0)),"")</f>
        <v/>
      </c>
      <c r="E58" s="1153"/>
      <c r="F58" s="642" t="str">
        <f>IFERROR(INDEX(Resume!$C$3:$F$213,MATCH(ROW($B39),Resume!$N$3:$N$213,0),MATCH(Quotation!F$18,Resume!$C$2:$F$2,0)),"")</f>
        <v/>
      </c>
      <c r="G58" s="643" t="str">
        <f t="shared" si="0"/>
        <v/>
      </c>
      <c r="I58" s="552"/>
      <c r="J58" s="552"/>
    </row>
    <row r="59" spans="1:10" x14ac:dyDescent="0.25">
      <c r="A59" s="514"/>
      <c r="B59" s="553"/>
      <c r="C59" s="554" t="s">
        <v>31</v>
      </c>
      <c r="D59" s="553"/>
      <c r="E59" s="555"/>
      <c r="F59" s="556" t="str">
        <f>VLOOKUP(E1,B89:W91,17)</f>
        <v>SUB-TOTAL</v>
      </c>
      <c r="G59" s="644">
        <f>SUM(G19:G58)</f>
        <v>515.09</v>
      </c>
      <c r="I59" s="552"/>
      <c r="J59" s="552"/>
    </row>
    <row r="60" spans="1:10" x14ac:dyDescent="0.25">
      <c r="A60" s="514"/>
      <c r="B60" s="625" t="str">
        <f>VLOOKUP(E1,B89:W91,16)</f>
        <v>TRANSPORT SHOULD BE DONE BY:</v>
      </c>
      <c r="C60" s="626"/>
      <c r="D60" s="627">
        <f>Resume!I215</f>
        <v>141.04419999999999</v>
      </c>
      <c r="E60" s="555"/>
      <c r="F60" s="556"/>
      <c r="G60" s="645" t="e">
        <f>IF(F60= "NO TAXES",0,VLOOKUP(F60,B106:C115,2))*G59</f>
        <v>#N/A</v>
      </c>
      <c r="I60" s="552"/>
      <c r="J60" s="552"/>
    </row>
    <row r="61" spans="1:10" x14ac:dyDescent="0.25">
      <c r="A61" s="514"/>
      <c r="B61" s="557"/>
      <c r="C61" s="624">
        <f>IF(D61=Resume!E221,Resume!D221,IF(D61=Resume!E222,Resume!D222,IF(D61=Resume!E223,Resume!D223,IF(D61=Resume!E224,Resume!D224,IF(D61=Resume!E225,Resume!D225,0)))))</f>
        <v>2</v>
      </c>
      <c r="D61" s="623" t="str">
        <f>IFERROR(INDEX(Resume!$D$221:$G$225,MATCH(ROW($B1),Resume!$G$221:$G$225,0),MATCH(Quotation!D$60,Resume!$D$220:$G$220)),"")</f>
        <v>Packs of tube 96'' X 5'' X 5'' (H)</v>
      </c>
      <c r="E61" s="555"/>
      <c r="F61" s="558" t="s">
        <v>60</v>
      </c>
      <c r="G61" s="645" t="e">
        <f>G59+G60</f>
        <v>#N/A</v>
      </c>
      <c r="I61" s="552"/>
      <c r="J61" s="552"/>
    </row>
    <row r="62" spans="1:10" x14ac:dyDescent="0.25">
      <c r="A62" s="514"/>
      <c r="B62" s="559"/>
      <c r="C62" s="624">
        <f>IF(D62=Resume!E222,Resume!D222,IF(D62=Resume!E223,Resume!D223,IF(D62=Resume!E224,Resume!D224,IF(D62=Resume!E225,Resume!D225,IF(D62=Resume!E226,Resume!D226,0)))))</f>
        <v>7</v>
      </c>
      <c r="D62" s="623" t="str">
        <f>IFERROR(INDEX(Resume!$D$221:$G$225,MATCH(ROW($B2),Resume!$G$221:$G$225,0),MATCH(Quotation!D$60,Resume!$D$220:$G$220)),"")</f>
        <v>Boxes 11'' X 9'' X 5-1/2'' (H)</v>
      </c>
      <c r="E62" s="560"/>
      <c r="F62" s="514"/>
      <c r="G62" s="514"/>
      <c r="I62" s="552"/>
      <c r="J62" s="552"/>
    </row>
    <row r="63" spans="1:10" x14ac:dyDescent="0.25">
      <c r="A63" s="514"/>
      <c r="B63" s="559"/>
      <c r="C63" s="624" t="str">
        <f>VLOOKUP(E1,B89:W91,19)</f>
        <v>Total weight in lbs:</v>
      </c>
      <c r="D63" s="623">
        <f>ROUNDUP(Resume!I215,0)</f>
        <v>142</v>
      </c>
      <c r="E63" s="560"/>
      <c r="F63" s="514"/>
      <c r="G63" s="514"/>
      <c r="I63" s="552"/>
      <c r="J63" s="552"/>
    </row>
    <row r="64" spans="1:10" s="516" customFormat="1" ht="5.25" customHeight="1" x14ac:dyDescent="0.25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 x14ac:dyDescent="0.25"/>
    <row r="66" spans="2:6" s="516" customFormat="1" hidden="1" x14ac:dyDescent="0.25"/>
    <row r="67" spans="2:6" s="516" customFormat="1" hidden="1" x14ac:dyDescent="0.25">
      <c r="B67" s="526" t="s">
        <v>33</v>
      </c>
    </row>
    <row r="68" spans="2:6" s="516" customFormat="1" hidden="1" x14ac:dyDescent="0.25">
      <c r="B68" s="516" t="s">
        <v>435</v>
      </c>
      <c r="C68" s="516" t="s">
        <v>386</v>
      </c>
      <c r="D68" s="516">
        <v>311</v>
      </c>
      <c r="E68" s="516" t="s">
        <v>920</v>
      </c>
      <c r="F68" s="565" t="s">
        <v>436</v>
      </c>
    </row>
    <row r="69" spans="2:6" s="516" customFormat="1" hidden="1" x14ac:dyDescent="0.25">
      <c r="B69" s="561" t="s">
        <v>414</v>
      </c>
      <c r="C69" s="516" t="s">
        <v>386</v>
      </c>
      <c r="D69" s="516">
        <v>302</v>
      </c>
      <c r="E69" s="516" t="s">
        <v>34</v>
      </c>
      <c r="F69" s="565" t="s">
        <v>35</v>
      </c>
    </row>
    <row r="70" spans="2:6" s="516" customFormat="1" hidden="1" x14ac:dyDescent="0.25">
      <c r="B70" s="561" t="s">
        <v>515</v>
      </c>
      <c r="C70" s="516" t="s">
        <v>386</v>
      </c>
      <c r="D70" s="516">
        <v>304</v>
      </c>
      <c r="E70" s="566" t="s">
        <v>426</v>
      </c>
      <c r="F70" s="565" t="s">
        <v>38</v>
      </c>
    </row>
    <row r="71" spans="2:6" s="516" customFormat="1" hidden="1" x14ac:dyDescent="0.25">
      <c r="B71" s="516" t="s">
        <v>439</v>
      </c>
      <c r="C71" s="516" t="s">
        <v>386</v>
      </c>
      <c r="D71" s="516">
        <v>306</v>
      </c>
      <c r="E71" s="566" t="s">
        <v>426</v>
      </c>
      <c r="F71" s="565" t="s">
        <v>442</v>
      </c>
    </row>
    <row r="72" spans="2:6" s="516" customFormat="1" hidden="1" x14ac:dyDescent="0.25">
      <c r="B72" s="561" t="s">
        <v>431</v>
      </c>
      <c r="C72" s="516" t="s">
        <v>386</v>
      </c>
      <c r="D72" s="516">
        <v>7</v>
      </c>
      <c r="E72" s="516" t="s">
        <v>432</v>
      </c>
      <c r="F72" s="565" t="s">
        <v>433</v>
      </c>
    </row>
    <row r="73" spans="2:6" s="516" customFormat="1" hidden="1" x14ac:dyDescent="0.25">
      <c r="B73" s="561" t="s">
        <v>41</v>
      </c>
      <c r="C73" s="516" t="s">
        <v>386</v>
      </c>
      <c r="D73" s="516">
        <v>301</v>
      </c>
      <c r="E73" s="516" t="s">
        <v>42</v>
      </c>
      <c r="F73" s="565" t="s">
        <v>43</v>
      </c>
    </row>
    <row r="74" spans="2:6" s="516" customFormat="1" hidden="1" x14ac:dyDescent="0.25">
      <c r="B74" s="561" t="s">
        <v>413</v>
      </c>
      <c r="C74" s="516" t="s">
        <v>386</v>
      </c>
      <c r="D74" s="516">
        <v>9</v>
      </c>
      <c r="E74" s="561" t="s">
        <v>44</v>
      </c>
      <c r="F74" s="567" t="s">
        <v>415</v>
      </c>
    </row>
    <row r="75" spans="2:6" s="516" customFormat="1" hidden="1" x14ac:dyDescent="0.25">
      <c r="B75" s="516" t="s">
        <v>423</v>
      </c>
      <c r="C75" s="516" t="s">
        <v>386</v>
      </c>
      <c r="D75" s="516">
        <v>8</v>
      </c>
      <c r="E75" s="516" t="s">
        <v>424</v>
      </c>
      <c r="F75" s="565" t="s">
        <v>425</v>
      </c>
    </row>
    <row r="76" spans="2:6" s="516" customFormat="1" hidden="1" x14ac:dyDescent="0.25">
      <c r="B76" s="516" t="s">
        <v>438</v>
      </c>
      <c r="C76" s="516" t="s">
        <v>386</v>
      </c>
      <c r="D76" s="516">
        <v>6</v>
      </c>
      <c r="E76" s="516" t="s">
        <v>444</v>
      </c>
      <c r="F76" s="565" t="s">
        <v>443</v>
      </c>
    </row>
    <row r="77" spans="2:6" s="516" customFormat="1" hidden="1" x14ac:dyDescent="0.25">
      <c r="B77" s="516" t="s">
        <v>492</v>
      </c>
      <c r="C77" s="516" t="s">
        <v>386</v>
      </c>
      <c r="D77" s="516">
        <v>4</v>
      </c>
      <c r="E77" s="516" t="s">
        <v>494</v>
      </c>
      <c r="F77" s="565" t="s">
        <v>493</v>
      </c>
    </row>
    <row r="78" spans="2:6" s="516" customFormat="1" hidden="1" x14ac:dyDescent="0.25">
      <c r="B78" s="516" t="s">
        <v>561</v>
      </c>
      <c r="C78" s="516" t="s">
        <v>386</v>
      </c>
      <c r="D78" s="516">
        <v>308</v>
      </c>
      <c r="E78" s="566" t="s">
        <v>918</v>
      </c>
      <c r="F78" s="654" t="s">
        <v>562</v>
      </c>
    </row>
    <row r="79" spans="2:6" s="516" customFormat="1" hidden="1" x14ac:dyDescent="0.25">
      <c r="B79" s="516" t="s">
        <v>563</v>
      </c>
      <c r="C79" s="516" t="s">
        <v>386</v>
      </c>
      <c r="D79" s="516">
        <v>309</v>
      </c>
      <c r="E79" s="566" t="s">
        <v>919</v>
      </c>
      <c r="F79" s="654" t="s">
        <v>564</v>
      </c>
    </row>
    <row r="80" spans="2:6" s="516" customFormat="1" hidden="1" x14ac:dyDescent="0.25"/>
    <row r="81" spans="2:23" s="516" customFormat="1" hidden="1" x14ac:dyDescent="0.25">
      <c r="B81" s="526" t="s">
        <v>46</v>
      </c>
    </row>
    <row r="82" spans="2:23" s="516" customFormat="1" hidden="1" x14ac:dyDescent="0.25">
      <c r="B82" s="526"/>
    </row>
    <row r="83" spans="2:23" s="516" customFormat="1" hidden="1" x14ac:dyDescent="0.25">
      <c r="B83" s="516" t="s">
        <v>440</v>
      </c>
      <c r="C83" s="516" t="s">
        <v>47</v>
      </c>
      <c r="D83" s="516" t="s">
        <v>384</v>
      </c>
      <c r="E83" s="516" t="s">
        <v>385</v>
      </c>
    </row>
    <row r="84" spans="2:23" s="516" customFormat="1" hidden="1" x14ac:dyDescent="0.25">
      <c r="B84" s="516" t="s">
        <v>441</v>
      </c>
      <c r="C84" s="516" t="s">
        <v>571</v>
      </c>
      <c r="D84" s="546" t="s">
        <v>572</v>
      </c>
      <c r="E84" s="516" t="s">
        <v>385</v>
      </c>
    </row>
    <row r="85" spans="2:23" s="516" customFormat="1" hidden="1" x14ac:dyDescent="0.25">
      <c r="D85" s="546"/>
    </row>
    <row r="86" spans="2:23" s="516" customFormat="1" hidden="1" x14ac:dyDescent="0.25">
      <c r="D86" s="546"/>
      <c r="E86" s="546"/>
    </row>
    <row r="87" spans="2:23" s="516" customFormat="1" hidden="1" x14ac:dyDescent="0.25"/>
    <row r="88" spans="2:23" s="516" customFormat="1" hidden="1" x14ac:dyDescent="0.25">
      <c r="B88" s="526" t="s">
        <v>100</v>
      </c>
    </row>
    <row r="89" spans="2:23" s="516" customFormat="1" hidden="1" x14ac:dyDescent="0.25"/>
    <row r="90" spans="2:23" s="516" customFormat="1" hidden="1" x14ac:dyDescent="0.25">
      <c r="B90" s="516" t="s">
        <v>30</v>
      </c>
      <c r="C90" s="516" t="s">
        <v>48</v>
      </c>
      <c r="D90" s="516" t="s">
        <v>49</v>
      </c>
      <c r="E90" s="546" t="s">
        <v>397</v>
      </c>
      <c r="F90" s="546" t="s">
        <v>484</v>
      </c>
      <c r="G90" s="546" t="s">
        <v>12</v>
      </c>
      <c r="H90" s="546" t="s">
        <v>396</v>
      </c>
      <c r="I90" s="546" t="s">
        <v>53</v>
      </c>
      <c r="J90" s="546" t="s">
        <v>54</v>
      </c>
      <c r="K90" s="546" t="s">
        <v>495</v>
      </c>
      <c r="L90" s="546" t="s">
        <v>55</v>
      </c>
      <c r="M90" s="546" t="s">
        <v>56</v>
      </c>
      <c r="N90" s="546" t="s">
        <v>57</v>
      </c>
      <c r="O90" s="546" t="s">
        <v>58</v>
      </c>
      <c r="P90" s="546" t="s">
        <v>59</v>
      </c>
      <c r="Q90" s="546" t="s">
        <v>103</v>
      </c>
      <c r="R90" s="546" t="s">
        <v>15</v>
      </c>
      <c r="S90" s="546" t="s">
        <v>61</v>
      </c>
      <c r="T90" s="546" t="s">
        <v>107</v>
      </c>
      <c r="U90" s="516" t="s">
        <v>62</v>
      </c>
      <c r="V90" s="516" t="s">
        <v>63</v>
      </c>
      <c r="W90" s="568" t="s">
        <v>64</v>
      </c>
    </row>
    <row r="91" spans="2:23" s="516" customFormat="1" hidden="1" x14ac:dyDescent="0.25">
      <c r="B91" s="516" t="s">
        <v>65</v>
      </c>
      <c r="C91" s="516" t="s">
        <v>66</v>
      </c>
      <c r="D91" s="516" t="s">
        <v>67</v>
      </c>
      <c r="E91" s="546" t="s">
        <v>68</v>
      </c>
      <c r="F91" s="546" t="s">
        <v>69</v>
      </c>
      <c r="G91" s="546" t="s">
        <v>70</v>
      </c>
      <c r="H91" s="546" t="s">
        <v>52</v>
      </c>
      <c r="I91" s="546" t="s">
        <v>71</v>
      </c>
      <c r="J91" s="546" t="s">
        <v>72</v>
      </c>
      <c r="K91" s="546" t="s">
        <v>73</v>
      </c>
      <c r="L91" s="546" t="s">
        <v>74</v>
      </c>
      <c r="M91" s="546" t="s">
        <v>75</v>
      </c>
      <c r="N91" s="546" t="s">
        <v>76</v>
      </c>
      <c r="O91" s="546" t="s">
        <v>58</v>
      </c>
      <c r="P91" s="546" t="s">
        <v>77</v>
      </c>
      <c r="Q91" s="546" t="s">
        <v>106</v>
      </c>
      <c r="R91" s="546" t="s">
        <v>78</v>
      </c>
      <c r="S91" s="546" t="s">
        <v>61</v>
      </c>
      <c r="T91" s="546" t="s">
        <v>108</v>
      </c>
      <c r="U91" s="546" t="s">
        <v>79</v>
      </c>
      <c r="V91" s="516" t="s">
        <v>80</v>
      </c>
      <c r="W91" s="516" t="s">
        <v>81</v>
      </c>
    </row>
    <row r="92" spans="2:23" s="516" customFormat="1" hidden="1" x14ac:dyDescent="0.25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 x14ac:dyDescent="0.25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 x14ac:dyDescent="0.25"/>
    <row r="95" spans="2:23" s="516" customFormat="1" hidden="1" x14ac:dyDescent="0.25"/>
    <row r="96" spans="2:23" s="516" customFormat="1" hidden="1" x14ac:dyDescent="0.25">
      <c r="B96" s="526" t="s">
        <v>56</v>
      </c>
      <c r="E96" s="526" t="s">
        <v>565</v>
      </c>
    </row>
    <row r="97" spans="2:5" s="516" customFormat="1" hidden="1" x14ac:dyDescent="0.25"/>
    <row r="98" spans="2:5" s="516" customFormat="1" hidden="1" x14ac:dyDescent="0.25">
      <c r="B98" s="516" t="s">
        <v>88</v>
      </c>
      <c r="E98" s="516" t="s">
        <v>566</v>
      </c>
    </row>
    <row r="99" spans="2:5" s="516" customFormat="1" hidden="1" x14ac:dyDescent="0.25">
      <c r="B99" s="516" t="s">
        <v>387</v>
      </c>
      <c r="E99" s="516" t="s">
        <v>567</v>
      </c>
    </row>
    <row r="100" spans="2:5" s="516" customFormat="1" hidden="1" x14ac:dyDescent="0.25">
      <c r="B100" s="516" t="s">
        <v>388</v>
      </c>
    </row>
    <row r="101" spans="2:5" s="516" customFormat="1" hidden="1" x14ac:dyDescent="0.25">
      <c r="B101" s="516" t="s">
        <v>89</v>
      </c>
    </row>
    <row r="102" spans="2:5" s="516" customFormat="1" hidden="1" x14ac:dyDescent="0.25">
      <c r="B102" s="516" t="s">
        <v>395</v>
      </c>
    </row>
    <row r="103" spans="2:5" s="516" customFormat="1" hidden="1" x14ac:dyDescent="0.25"/>
    <row r="104" spans="2:5" s="516" customFormat="1" hidden="1" x14ac:dyDescent="0.25"/>
    <row r="105" spans="2:5" s="516" customFormat="1" hidden="1" x14ac:dyDescent="0.25">
      <c r="B105" s="526" t="s">
        <v>61</v>
      </c>
    </row>
    <row r="106" spans="2:5" s="516" customFormat="1" hidden="1" x14ac:dyDescent="0.25">
      <c r="C106" s="569">
        <v>0</v>
      </c>
    </row>
    <row r="107" spans="2:5" s="516" customFormat="1" hidden="1" x14ac:dyDescent="0.25">
      <c r="B107" s="552" t="s">
        <v>4</v>
      </c>
      <c r="C107" s="570">
        <v>0.05</v>
      </c>
    </row>
    <row r="108" spans="2:5" s="516" customFormat="1" hidden="1" x14ac:dyDescent="0.25">
      <c r="B108" s="552" t="s">
        <v>5</v>
      </c>
      <c r="C108" s="570">
        <v>0.05</v>
      </c>
    </row>
    <row r="109" spans="2:5" s="516" customFormat="1" hidden="1" x14ac:dyDescent="0.25">
      <c r="B109" s="552" t="s">
        <v>91</v>
      </c>
      <c r="C109" s="570">
        <v>0.05</v>
      </c>
    </row>
    <row r="110" spans="2:5" s="516" customFormat="1" hidden="1" x14ac:dyDescent="0.25">
      <c r="B110" s="552" t="s">
        <v>92</v>
      </c>
      <c r="C110" s="570">
        <v>0.05</v>
      </c>
    </row>
    <row r="111" spans="2:5" s="516" customFormat="1" hidden="1" x14ac:dyDescent="0.25">
      <c r="B111" s="552" t="s">
        <v>93</v>
      </c>
      <c r="C111" s="570">
        <v>0.13</v>
      </c>
    </row>
    <row r="112" spans="2:5" s="516" customFormat="1" hidden="1" x14ac:dyDescent="0.25">
      <c r="B112" s="552" t="s">
        <v>94</v>
      </c>
      <c r="C112" s="570">
        <v>0.05</v>
      </c>
    </row>
    <row r="113" spans="2:3" s="516" customFormat="1" hidden="1" x14ac:dyDescent="0.25">
      <c r="B113" s="552" t="s">
        <v>95</v>
      </c>
      <c r="C113" s="570">
        <v>0.14974999999999999</v>
      </c>
    </row>
    <row r="114" spans="2:3" s="516" customFormat="1" hidden="1" x14ac:dyDescent="0.25">
      <c r="B114" s="552" t="s">
        <v>96</v>
      </c>
      <c r="C114" s="570">
        <v>0.05</v>
      </c>
    </row>
    <row r="115" spans="2:3" s="516" customFormat="1" hidden="1" x14ac:dyDescent="0.25">
      <c r="B115" s="516" t="s">
        <v>97</v>
      </c>
      <c r="C115" s="569">
        <v>0</v>
      </c>
    </row>
    <row r="116" spans="2:3" s="516" customFormat="1" hidden="1" x14ac:dyDescent="0.25"/>
    <row r="117" spans="2:3" s="516" customFormat="1" hidden="1" x14ac:dyDescent="0.25"/>
    <row r="118" spans="2:3" s="516" customFormat="1" hidden="1" x14ac:dyDescent="0.25"/>
    <row r="119" spans="2:3" s="516" customFormat="1" hidden="1" x14ac:dyDescent="0.25"/>
    <row r="120" spans="2:3" s="516" customFormat="1" hidden="1" x14ac:dyDescent="0.25"/>
    <row r="121" spans="2:3" s="516" customFormat="1" hidden="1" x14ac:dyDescent="0.25"/>
    <row r="122" spans="2:3" s="516" customFormat="1" hidden="1" x14ac:dyDescent="0.25"/>
    <row r="123" spans="2:3" s="516" customFormat="1" hidden="1" x14ac:dyDescent="0.25"/>
    <row r="124" spans="2:3" s="516" customFormat="1" hidden="1" x14ac:dyDescent="0.25"/>
    <row r="125" spans="2:3" s="516" customFormat="1" hidden="1" x14ac:dyDescent="0.25"/>
    <row r="126" spans="2:3" s="516" customFormat="1" hidden="1" x14ac:dyDescent="0.25"/>
    <row r="127" spans="2:3" s="516" customFormat="1" hidden="1" x14ac:dyDescent="0.25"/>
    <row r="128" spans="2:3" s="516" customFormat="1" hidden="1" x14ac:dyDescent="0.25"/>
    <row r="129" s="516" customFormat="1" hidden="1" x14ac:dyDescent="0.25"/>
    <row r="130" s="516" customFormat="1" hidden="1" x14ac:dyDescent="0.25"/>
    <row r="131" s="516" customFormat="1" x14ac:dyDescent="0.25"/>
    <row r="132" s="516" customFormat="1" x14ac:dyDescent="0.25"/>
    <row r="133" s="516" customFormat="1" x14ac:dyDescent="0.25"/>
    <row r="134" s="516" customFormat="1" x14ac:dyDescent="0.25"/>
    <row r="135" s="516" customFormat="1" x14ac:dyDescent="0.25"/>
    <row r="136" s="516" customFormat="1" x14ac:dyDescent="0.25"/>
    <row r="137" s="516" customFormat="1" x14ac:dyDescent="0.25"/>
    <row r="138" s="516" customFormat="1" x14ac:dyDescent="0.25"/>
    <row r="139" s="516" customFormat="1" x14ac:dyDescent="0.25"/>
    <row r="140" s="516" customFormat="1" x14ac:dyDescent="0.25"/>
    <row r="141" s="516" customFormat="1" x14ac:dyDescent="0.25"/>
    <row r="142" s="516" customFormat="1" x14ac:dyDescent="0.25"/>
    <row r="143" s="516" customFormat="1" x14ac:dyDescent="0.25"/>
    <row r="144" s="516" customFormat="1" x14ac:dyDescent="0.25"/>
    <row r="145" s="516" customFormat="1" x14ac:dyDescent="0.25"/>
    <row r="146" s="516" customFormat="1" x14ac:dyDescent="0.25"/>
    <row r="147" s="516" customFormat="1" x14ac:dyDescent="0.25"/>
    <row r="148" s="516" customFormat="1" x14ac:dyDescent="0.25"/>
    <row r="149" s="516" customFormat="1" x14ac:dyDescent="0.25"/>
    <row r="150" s="516" customFormat="1" x14ac:dyDescent="0.25"/>
    <row r="151" s="516" customFormat="1" x14ac:dyDescent="0.25"/>
    <row r="152" s="516" customFormat="1" x14ac:dyDescent="0.25"/>
    <row r="153" s="516" customFormat="1" x14ac:dyDescent="0.25"/>
    <row r="154" s="516" customFormat="1" x14ac:dyDescent="0.25"/>
    <row r="155" s="516" customFormat="1" x14ac:dyDescent="0.25"/>
    <row r="156" s="516" customFormat="1" x14ac:dyDescent="0.25"/>
    <row r="157" s="516" customFormat="1" x14ac:dyDescent="0.25"/>
    <row r="158" s="516" customFormat="1" x14ac:dyDescent="0.25"/>
    <row r="159" s="516" customFormat="1" x14ac:dyDescent="0.25"/>
    <row r="160" s="516" customFormat="1" x14ac:dyDescent="0.25"/>
    <row r="161" s="516" customFormat="1" x14ac:dyDescent="0.25"/>
    <row r="162" s="516" customFormat="1" x14ac:dyDescent="0.25"/>
    <row r="163" s="516" customFormat="1" x14ac:dyDescent="0.25"/>
    <row r="164" s="516" customFormat="1" x14ac:dyDescent="0.25"/>
    <row r="165" s="516" customFormat="1" x14ac:dyDescent="0.25"/>
    <row r="166" s="516" customFormat="1" x14ac:dyDescent="0.25"/>
    <row r="167" s="516" customFormat="1" x14ac:dyDescent="0.25"/>
    <row r="168" s="516" customFormat="1" x14ac:dyDescent="0.25"/>
    <row r="169" s="516" customFormat="1" x14ac:dyDescent="0.25"/>
    <row r="170" s="516" customFormat="1" x14ac:dyDescent="0.25"/>
    <row r="171" s="516" customFormat="1" x14ac:dyDescent="0.25"/>
    <row r="172" s="516" customFormat="1" x14ac:dyDescent="0.25"/>
    <row r="173" s="516" customFormat="1" x14ac:dyDescent="0.25"/>
    <row r="174" s="516" customFormat="1" x14ac:dyDescent="0.25"/>
    <row r="175" s="516" customFormat="1" x14ac:dyDescent="0.25"/>
    <row r="176" s="516" customFormat="1" x14ac:dyDescent="0.25"/>
    <row r="177" s="516" customFormat="1" x14ac:dyDescent="0.25"/>
    <row r="178" s="516" customFormat="1" x14ac:dyDescent="0.25"/>
    <row r="179" s="516" customFormat="1" x14ac:dyDescent="0.25"/>
    <row r="180" s="516" customFormat="1" x14ac:dyDescent="0.25"/>
    <row r="181" s="516" customFormat="1" x14ac:dyDescent="0.25"/>
    <row r="182" s="516" customFormat="1" x14ac:dyDescent="0.25"/>
    <row r="183" s="516" customFormat="1" x14ac:dyDescent="0.25"/>
    <row r="184" s="516" customFormat="1" x14ac:dyDescent="0.25"/>
    <row r="185" s="516" customFormat="1" x14ac:dyDescent="0.25"/>
    <row r="186" s="516" customFormat="1" x14ac:dyDescent="0.25"/>
    <row r="187" s="516" customFormat="1" x14ac:dyDescent="0.25"/>
    <row r="188" s="516" customFormat="1" x14ac:dyDescent="0.25"/>
    <row r="189" s="516" customFormat="1" x14ac:dyDescent="0.25"/>
    <row r="190" s="516" customFormat="1" x14ac:dyDescent="0.25"/>
    <row r="191" s="516" customFormat="1" x14ac:dyDescent="0.25"/>
    <row r="192" s="516" customFormat="1" x14ac:dyDescent="0.25"/>
    <row r="193" s="516" customFormat="1" x14ac:dyDescent="0.25"/>
    <row r="194" s="516" customFormat="1" x14ac:dyDescent="0.25"/>
    <row r="195" s="516" customFormat="1" x14ac:dyDescent="0.25"/>
    <row r="196" s="516" customFormat="1" x14ac:dyDescent="0.25"/>
    <row r="197" s="516" customFormat="1" x14ac:dyDescent="0.25"/>
    <row r="198" s="516" customFormat="1" x14ac:dyDescent="0.25"/>
    <row r="199" s="516" customFormat="1" x14ac:dyDescent="0.25"/>
    <row r="200" s="516" customFormat="1" x14ac:dyDescent="0.25"/>
    <row r="201" s="516" customFormat="1" x14ac:dyDescent="0.25"/>
    <row r="202" s="516" customFormat="1" x14ac:dyDescent="0.25"/>
    <row r="203" s="516" customFormat="1" x14ac:dyDescent="0.25"/>
    <row r="204" s="516" customFormat="1" x14ac:dyDescent="0.25"/>
    <row r="205" s="516" customFormat="1" x14ac:dyDescent="0.25"/>
    <row r="206" s="516" customFormat="1" x14ac:dyDescent="0.25"/>
    <row r="207" s="516" customFormat="1" x14ac:dyDescent="0.25"/>
    <row r="208" s="516" customFormat="1" x14ac:dyDescent="0.25"/>
    <row r="209" s="516" customFormat="1" x14ac:dyDescent="0.25"/>
    <row r="210" s="516" customFormat="1" x14ac:dyDescent="0.25"/>
    <row r="211" s="516" customFormat="1" x14ac:dyDescent="0.25"/>
    <row r="212" s="516" customFormat="1" x14ac:dyDescent="0.25"/>
    <row r="213" s="516" customFormat="1" x14ac:dyDescent="0.25"/>
    <row r="214" s="516" customFormat="1" x14ac:dyDescent="0.25"/>
    <row r="215" s="516" customFormat="1" x14ac:dyDescent="0.25"/>
    <row r="216" s="516" customFormat="1" x14ac:dyDescent="0.25"/>
    <row r="217" s="516" customFormat="1" x14ac:dyDescent="0.25"/>
    <row r="218" s="516" customFormat="1" x14ac:dyDescent="0.25"/>
    <row r="219" s="516" customFormat="1" x14ac:dyDescent="0.25"/>
    <row r="220" s="516" customFormat="1" x14ac:dyDescent="0.25"/>
    <row r="221" s="516" customFormat="1" x14ac:dyDescent="0.25"/>
    <row r="222" s="516" customFormat="1" x14ac:dyDescent="0.25"/>
    <row r="223" s="516" customFormat="1" x14ac:dyDescent="0.25"/>
    <row r="224" s="516" customFormat="1" x14ac:dyDescent="0.25"/>
    <row r="225" s="516" customFormat="1" x14ac:dyDescent="0.25"/>
    <row r="226" s="516" customFormat="1" x14ac:dyDescent="0.25"/>
    <row r="227" s="516" customFormat="1" x14ac:dyDescent="0.25"/>
    <row r="228" s="516" customFormat="1" x14ac:dyDescent="0.25"/>
    <row r="229" s="516" customFormat="1" x14ac:dyDescent="0.25"/>
    <row r="230" s="516" customFormat="1" x14ac:dyDescent="0.25"/>
    <row r="231" s="516" customFormat="1" x14ac:dyDescent="0.25"/>
    <row r="232" s="516" customFormat="1" x14ac:dyDescent="0.25"/>
    <row r="233" s="516" customFormat="1" x14ac:dyDescent="0.25"/>
    <row r="234" s="516" customFormat="1" x14ac:dyDescent="0.25"/>
    <row r="235" s="516" customFormat="1" x14ac:dyDescent="0.25"/>
    <row r="236" s="516" customFormat="1" x14ac:dyDescent="0.25"/>
    <row r="237" s="516" customFormat="1" x14ac:dyDescent="0.25"/>
    <row r="238" s="516" customFormat="1" x14ac:dyDescent="0.25"/>
    <row r="239" s="516" customFormat="1" x14ac:dyDescent="0.25"/>
    <row r="240" s="516" customFormat="1" x14ac:dyDescent="0.25"/>
    <row r="241" s="516" customFormat="1" x14ac:dyDescent="0.25"/>
    <row r="242" s="516" customFormat="1" x14ac:dyDescent="0.25"/>
    <row r="243" s="516" customFormat="1" x14ac:dyDescent="0.25"/>
    <row r="244" s="516" customFormat="1" x14ac:dyDescent="0.25"/>
    <row r="245" s="516" customFormat="1" x14ac:dyDescent="0.25"/>
    <row r="246" s="516" customFormat="1" x14ac:dyDescent="0.25"/>
    <row r="247" s="516" customFormat="1" x14ac:dyDescent="0.25"/>
    <row r="248" s="516" customFormat="1" x14ac:dyDescent="0.25"/>
    <row r="249" s="516" customFormat="1" x14ac:dyDescent="0.25"/>
    <row r="250" s="516" customFormat="1" x14ac:dyDescent="0.25"/>
    <row r="251" s="516" customFormat="1" x14ac:dyDescent="0.25"/>
    <row r="252" s="516" customFormat="1" x14ac:dyDescent="0.25"/>
    <row r="253" s="516" customFormat="1" x14ac:dyDescent="0.25"/>
    <row r="254" s="516" customFormat="1" x14ac:dyDescent="0.25"/>
    <row r="255" s="516" customFormat="1" x14ac:dyDescent="0.25"/>
    <row r="256" s="516" customFormat="1" x14ac:dyDescent="0.25"/>
    <row r="257" s="516" customFormat="1" x14ac:dyDescent="0.25"/>
    <row r="258" s="516" customFormat="1" x14ac:dyDescent="0.25"/>
    <row r="259" s="516" customFormat="1" x14ac:dyDescent="0.25"/>
    <row r="260" s="516" customFormat="1" x14ac:dyDescent="0.25"/>
    <row r="261" s="516" customFormat="1" x14ac:dyDescent="0.25"/>
    <row r="262" s="516" customFormat="1" x14ac:dyDescent="0.25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>
      <formula1>$B$106:$B$115</formula1>
    </dataValidation>
    <dataValidation type="list" allowBlank="1" showInputMessage="1" showErrorMessage="1" sqref="G16">
      <formula1>$B$97:$B$102</formula1>
    </dataValidation>
    <dataValidation type="list" allowBlank="1" showInputMessage="1" showErrorMessage="1" sqref="E1:G2">
      <formula1>$B$89:$B$91</formula1>
    </dataValidation>
    <dataValidation type="list" allowBlank="1" showInputMessage="1" showErrorMessage="1" sqref="B3">
      <formula1>$B$82:$B$85</formula1>
    </dataValidation>
    <dataValidation type="list" allowBlank="1" showInputMessage="1" showErrorMessage="1" sqref="F8">
      <formula1>$B$68:$B$80</formula1>
    </dataValidation>
    <dataValidation type="list" allowBlank="1" showInputMessage="1" showErrorMessage="1" sqref="B16:D16">
      <formula1>$E$98:$E$99</formula1>
    </dataValidation>
  </dataValidations>
  <hyperlinks>
    <hyperlink ref="F69" r:id="rId1"/>
    <hyperlink ref="F72" r:id="rId2"/>
    <hyperlink ref="F73" r:id="rId3"/>
    <hyperlink ref="F70" r:id="rId4"/>
    <hyperlink ref="F74" r:id="rId5"/>
    <hyperlink ref="F13" r:id="rId6"/>
    <hyperlink ref="F75" r:id="rId7"/>
    <hyperlink ref="F68" r:id="rId8"/>
    <hyperlink ref="F71" r:id="rId9"/>
    <hyperlink ref="F76" r:id="rId10"/>
    <hyperlink ref="F77" r:id="rId11"/>
    <hyperlink ref="F79" r:id="rId12"/>
    <hyperlink ref="F78" r:id="rId13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29"/>
  <sheetViews>
    <sheetView zoomScaleNormal="100" workbookViewId="0">
      <pane ySplit="2" topLeftCell="A202" activePane="bottomLeft" state="frozen"/>
      <selection pane="bottomLeft" activeCell="H187" sqref="H187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183" t="s">
        <v>98</v>
      </c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5" s="212" customFormat="1" ht="12" x14ac:dyDescent="0.25">
      <c r="A2" s="208" t="s">
        <v>147</v>
      </c>
      <c r="B2" s="690" t="s">
        <v>619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5">
      <c r="N3" s="216"/>
    </row>
    <row r="4" spans="1:15" s="386" customFormat="1" ht="12.6" customHeight="1" x14ac:dyDescent="0.25">
      <c r="A4" s="379" t="s">
        <v>153</v>
      </c>
      <c r="B4" s="380" t="s">
        <v>434</v>
      </c>
      <c r="C4" s="381">
        <f>'Order form'!N22</f>
        <v>0</v>
      </c>
      <c r="D4" s="381" t="str">
        <f>'Order form'!D22</f>
        <v>P-96-WH</v>
      </c>
      <c r="E4" s="381" t="s">
        <v>720</v>
      </c>
      <c r="F4" s="382">
        <f>'Order form'!L22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378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76"/>
    </row>
    <row r="5" spans="1:15" s="386" customFormat="1" ht="12.6" customHeight="1" x14ac:dyDescent="0.25">
      <c r="A5" s="379" t="s">
        <v>153</v>
      </c>
      <c r="B5" s="380" t="s">
        <v>434</v>
      </c>
      <c r="C5" s="381">
        <f>'Order form'!N23</f>
        <v>0</v>
      </c>
      <c r="D5" s="381" t="str">
        <f>'Order form'!D23</f>
        <v>P-96-IV</v>
      </c>
      <c r="E5" s="381" t="s">
        <v>721</v>
      </c>
      <c r="F5" s="382">
        <f>'Order form'!L23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378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77"/>
    </row>
    <row r="6" spans="1:15" s="386" customFormat="1" ht="12.6" customHeight="1" x14ac:dyDescent="0.25">
      <c r="A6" s="379" t="s">
        <v>153</v>
      </c>
      <c r="B6" s="380" t="s">
        <v>434</v>
      </c>
      <c r="C6" s="381">
        <f>'Order form'!N24</f>
        <v>16</v>
      </c>
      <c r="D6" s="381" t="str">
        <f>'Order form'!D24</f>
        <v>P-96-BL</v>
      </c>
      <c r="E6" s="381" t="s">
        <v>722</v>
      </c>
      <c r="F6" s="382">
        <f>'Order form'!L24</f>
        <v>7.95</v>
      </c>
      <c r="G6" s="382">
        <f t="shared" si="3"/>
        <v>127.2</v>
      </c>
      <c r="H6" s="383">
        <v>3.3879999999999999</v>
      </c>
      <c r="I6" s="384">
        <f t="shared" ref="I6:I123" si="4">C6*H6</f>
        <v>54.207999999999998</v>
      </c>
      <c r="J6" s="384" t="s">
        <v>378</v>
      </c>
      <c r="K6" s="384">
        <v>8</v>
      </c>
      <c r="L6" s="384">
        <f t="shared" si="0"/>
        <v>2</v>
      </c>
      <c r="M6" s="385">
        <f t="shared" si="1"/>
        <v>27.103999999999999</v>
      </c>
      <c r="N6" s="381">
        <f t="shared" si="2"/>
        <v>1</v>
      </c>
      <c r="O6" s="1177"/>
    </row>
    <row r="7" spans="1:15" s="386" customFormat="1" ht="12.6" customHeight="1" x14ac:dyDescent="0.25">
      <c r="A7" s="379" t="s">
        <v>153</v>
      </c>
      <c r="B7" s="380" t="s">
        <v>434</v>
      </c>
      <c r="C7" s="381">
        <f>'Order form'!N25</f>
        <v>0</v>
      </c>
      <c r="D7" s="381" t="str">
        <f>'Order form'!D25</f>
        <v>P-96-GR</v>
      </c>
      <c r="E7" s="381" t="s">
        <v>723</v>
      </c>
      <c r="F7" s="382">
        <f>'Order form'!L25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378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1</v>
      </c>
      <c r="O7" s="1177"/>
    </row>
    <row r="8" spans="1:15" s="386" customFormat="1" ht="12.6" customHeight="1" x14ac:dyDescent="0.25">
      <c r="A8" s="379" t="s">
        <v>153</v>
      </c>
      <c r="B8" s="380" t="s">
        <v>434</v>
      </c>
      <c r="C8" s="381">
        <f>'Order form'!N26</f>
        <v>0</v>
      </c>
      <c r="D8" s="381" t="str">
        <f>'Order form'!D26</f>
        <v>P-96-RD</v>
      </c>
      <c r="E8" s="381" t="s">
        <v>724</v>
      </c>
      <c r="F8" s="382">
        <f>'Order form'!L26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378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1</v>
      </c>
      <c r="O8" s="1177"/>
    </row>
    <row r="9" spans="1:15" s="386" customFormat="1" ht="12.6" customHeight="1" x14ac:dyDescent="0.25">
      <c r="A9" s="379" t="s">
        <v>153</v>
      </c>
      <c r="B9" s="380" t="s">
        <v>434</v>
      </c>
      <c r="C9" s="381">
        <f>'Order form'!N27</f>
        <v>0</v>
      </c>
      <c r="D9" s="381" t="str">
        <f>'Order form'!D27</f>
        <v>P-96-OR</v>
      </c>
      <c r="E9" s="381" t="s">
        <v>725</v>
      </c>
      <c r="F9" s="382">
        <f>'Order form'!L27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378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1</v>
      </c>
      <c r="O9" s="1177"/>
    </row>
    <row r="10" spans="1:15" s="386" customFormat="1" x14ac:dyDescent="0.25">
      <c r="A10" s="379" t="s">
        <v>153</v>
      </c>
      <c r="B10" s="380" t="s">
        <v>434</v>
      </c>
      <c r="C10" s="381">
        <f>'Order form'!N28</f>
        <v>0</v>
      </c>
      <c r="D10" s="381" t="str">
        <f>'Order form'!D28</f>
        <v>EP-96-BK</v>
      </c>
      <c r="E10" s="381" t="s">
        <v>726</v>
      </c>
      <c r="F10" s="382">
        <f>'Order form'!L28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378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1</v>
      </c>
      <c r="O10" s="388"/>
    </row>
    <row r="11" spans="1:15" s="386" customFormat="1" x14ac:dyDescent="0.25">
      <c r="A11" s="379" t="s">
        <v>153</v>
      </c>
      <c r="B11" s="380" t="s">
        <v>434</v>
      </c>
      <c r="C11" s="381">
        <f>'Order form'!N29</f>
        <v>0</v>
      </c>
      <c r="D11" s="381" t="str">
        <f>'Order form'!D29</f>
        <v>EP-96-ST</v>
      </c>
      <c r="E11" s="381" t="s">
        <v>727</v>
      </c>
      <c r="F11" s="382">
        <f>'Order form'!L29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378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1</v>
      </c>
      <c r="O11" s="389"/>
    </row>
    <row r="12" spans="1:15" s="386" customFormat="1" x14ac:dyDescent="0.25">
      <c r="A12" s="379" t="s">
        <v>153</v>
      </c>
      <c r="B12" s="380" t="s">
        <v>434</v>
      </c>
      <c r="C12" s="381">
        <f>'Order form'!N30</f>
        <v>0</v>
      </c>
      <c r="D12" s="381" t="str">
        <f>'Order form'!D30</f>
        <v>SP-96-BL</v>
      </c>
      <c r="E12" s="381" t="s">
        <v>728</v>
      </c>
      <c r="F12" s="382">
        <f>'Order form'!L30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378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1</v>
      </c>
      <c r="O12" s="390">
        <f>SUM(G4:G12)</f>
        <v>127.2</v>
      </c>
    </row>
    <row r="13" spans="1:15" s="684" customFormat="1" ht="12.6" customHeight="1" x14ac:dyDescent="0.25">
      <c r="A13" s="681" t="s">
        <v>153</v>
      </c>
      <c r="B13" s="682" t="s">
        <v>158</v>
      </c>
      <c r="C13" s="689">
        <f>'Order form'!F42</f>
        <v>0</v>
      </c>
      <c r="D13" s="680" t="str">
        <f>'Order form'!D40</f>
        <v>R40-RT96</v>
      </c>
      <c r="E13" s="680" t="s">
        <v>296</v>
      </c>
      <c r="F13" s="217">
        <f>'Order form'!D42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378</v>
      </c>
      <c r="K13" s="219">
        <f>'Order form'!G43</f>
        <v>6</v>
      </c>
      <c r="L13" s="219">
        <f t="shared" si="0"/>
        <v>0</v>
      </c>
      <c r="M13" s="683">
        <f t="shared" si="1"/>
        <v>35.903999999999996</v>
      </c>
      <c r="N13" s="680">
        <f t="shared" si="2"/>
        <v>1</v>
      </c>
      <c r="O13" s="1178"/>
    </row>
    <row r="14" spans="1:15" s="684" customFormat="1" x14ac:dyDescent="0.25">
      <c r="A14" s="681" t="s">
        <v>153</v>
      </c>
      <c r="B14" s="682" t="s">
        <v>158</v>
      </c>
      <c r="C14" s="689">
        <f>'Order form'!K42</f>
        <v>0</v>
      </c>
      <c r="D14" s="680" t="str">
        <f>'Order form'!I40</f>
        <v>R40-MS</v>
      </c>
      <c r="E14" s="680" t="s">
        <v>732</v>
      </c>
      <c r="F14" s="217">
        <f>'Order form'!I42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22</v>
      </c>
      <c r="K14" s="219">
        <f>'Order form'!L43</f>
        <v>30</v>
      </c>
      <c r="L14" s="219">
        <f t="shared" si="0"/>
        <v>0</v>
      </c>
      <c r="M14" s="683">
        <f t="shared" si="1"/>
        <v>10.23</v>
      </c>
      <c r="N14" s="680">
        <f t="shared" si="2"/>
        <v>1</v>
      </c>
      <c r="O14" s="1179"/>
    </row>
    <row r="15" spans="1:15" s="684" customFormat="1" x14ac:dyDescent="0.25">
      <c r="A15" s="681" t="s">
        <v>153</v>
      </c>
      <c r="B15" s="682" t="s">
        <v>158</v>
      </c>
      <c r="C15" s="689">
        <f>'Order form'!P42</f>
        <v>0</v>
      </c>
      <c r="D15" s="680" t="str">
        <f>'Order form'!N40</f>
        <v>R40-TS</v>
      </c>
      <c r="E15" s="680" t="s">
        <v>733</v>
      </c>
      <c r="F15" s="217">
        <f>'Order form'!N42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22</v>
      </c>
      <c r="K15" s="219">
        <f>'Order form'!Q43</f>
        <v>30</v>
      </c>
      <c r="L15" s="219">
        <f t="shared" si="0"/>
        <v>0</v>
      </c>
      <c r="M15" s="683">
        <f t="shared" si="1"/>
        <v>13.2</v>
      </c>
      <c r="N15" s="680">
        <f t="shared" si="2"/>
        <v>1</v>
      </c>
      <c r="O15" s="1179"/>
    </row>
    <row r="16" spans="1:15" s="684" customFormat="1" x14ac:dyDescent="0.25">
      <c r="A16" s="681" t="s">
        <v>153</v>
      </c>
      <c r="B16" s="682" t="s">
        <v>158</v>
      </c>
      <c r="C16" s="689">
        <f>'Order form'!F52</f>
        <v>0</v>
      </c>
      <c r="D16" s="680" t="str">
        <f>'Order form'!D50</f>
        <v>R40-TU</v>
      </c>
      <c r="E16" s="680" t="s">
        <v>734</v>
      </c>
      <c r="F16" s="217">
        <f>'Order form'!D52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22</v>
      </c>
      <c r="K16" s="219">
        <f>'Order form'!G53</f>
        <v>20</v>
      </c>
      <c r="L16" s="219">
        <f t="shared" si="0"/>
        <v>0</v>
      </c>
      <c r="M16" s="683">
        <f t="shared" si="1"/>
        <v>12.1</v>
      </c>
      <c r="N16" s="680">
        <f t="shared" si="2"/>
        <v>1</v>
      </c>
      <c r="O16" s="1179"/>
    </row>
    <row r="17" spans="1:31" s="684" customFormat="1" x14ac:dyDescent="0.25">
      <c r="A17" s="681" t="s">
        <v>153</v>
      </c>
      <c r="B17" s="682" t="s">
        <v>158</v>
      </c>
      <c r="C17" s="689">
        <f>'Order form'!U42</f>
        <v>0</v>
      </c>
      <c r="D17" s="680" t="str">
        <f>'Order form'!S40</f>
        <v>R40-DS</v>
      </c>
      <c r="E17" s="680" t="s">
        <v>735</v>
      </c>
      <c r="F17" s="217">
        <f>'Order form'!S42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22</v>
      </c>
      <c r="K17" s="219">
        <f>'Order form'!V43</f>
        <v>25</v>
      </c>
      <c r="L17" s="219">
        <f t="shared" si="0"/>
        <v>0</v>
      </c>
      <c r="M17" s="683">
        <f t="shared" si="1"/>
        <v>10.037500000000001</v>
      </c>
      <c r="N17" s="680">
        <f t="shared" si="2"/>
        <v>1</v>
      </c>
      <c r="O17" s="1179"/>
    </row>
    <row r="18" spans="1:31" s="684" customFormat="1" x14ac:dyDescent="0.25">
      <c r="A18" s="681" t="s">
        <v>153</v>
      </c>
      <c r="B18" s="682" t="s">
        <v>158</v>
      </c>
      <c r="C18" s="689">
        <f>'Order form'!Z42</f>
        <v>0</v>
      </c>
      <c r="D18" s="680" t="str">
        <f>'Order form'!X40</f>
        <v>R40-TC</v>
      </c>
      <c r="E18" s="680" t="s">
        <v>736</v>
      </c>
      <c r="F18" s="217">
        <f>'Order form'!X42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22</v>
      </c>
      <c r="K18" s="219">
        <f>'Order form'!AA43</f>
        <v>40</v>
      </c>
      <c r="L18" s="219">
        <f t="shared" si="0"/>
        <v>0</v>
      </c>
      <c r="M18" s="683">
        <f t="shared" si="1"/>
        <v>13.64</v>
      </c>
      <c r="N18" s="680">
        <f t="shared" si="2"/>
        <v>1</v>
      </c>
      <c r="O18" s="1179"/>
    </row>
    <row r="19" spans="1:31" s="684" customFormat="1" x14ac:dyDescent="0.25">
      <c r="A19" s="681" t="s">
        <v>153</v>
      </c>
      <c r="B19" s="682" t="s">
        <v>158</v>
      </c>
      <c r="C19" s="689">
        <f>'Order form'!K52</f>
        <v>0</v>
      </c>
      <c r="D19" s="680" t="str">
        <f>'Order form'!I50</f>
        <v>R40-CS</v>
      </c>
      <c r="E19" s="680" t="s">
        <v>737</v>
      </c>
      <c r="F19" s="217">
        <f>'Order form'!I52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22</v>
      </c>
      <c r="K19" s="219">
        <f>'Order form'!L53</f>
        <v>20</v>
      </c>
      <c r="L19" s="219">
        <f t="shared" si="0"/>
        <v>0</v>
      </c>
      <c r="M19" s="683">
        <f t="shared" si="1"/>
        <v>35.200000000000003</v>
      </c>
      <c r="N19" s="680">
        <f t="shared" si="2"/>
        <v>1</v>
      </c>
      <c r="O19" s="1179"/>
    </row>
    <row r="20" spans="1:31" s="684" customFormat="1" x14ac:dyDescent="0.25">
      <c r="A20" s="681" t="s">
        <v>153</v>
      </c>
      <c r="B20" s="682" t="s">
        <v>158</v>
      </c>
      <c r="C20" s="689">
        <f>'Order form'!P52</f>
        <v>0</v>
      </c>
      <c r="D20" s="680" t="str">
        <f>'Order form'!N50</f>
        <v>R40-SLOW</v>
      </c>
      <c r="E20" s="680" t="s">
        <v>729</v>
      </c>
      <c r="F20" s="217">
        <f>'Order form'!N52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22</v>
      </c>
      <c r="K20" s="219">
        <f>'Order form'!Q53</f>
        <v>150</v>
      </c>
      <c r="L20" s="219">
        <f t="shared" si="0"/>
        <v>0</v>
      </c>
      <c r="M20" s="683">
        <f t="shared" si="1"/>
        <v>4.7849999999999993</v>
      </c>
      <c r="N20" s="680">
        <f t="shared" si="2"/>
        <v>1</v>
      </c>
      <c r="O20" s="1179"/>
    </row>
    <row r="21" spans="1:31" s="684" customFormat="1" x14ac:dyDescent="0.25">
      <c r="A21" s="681" t="s">
        <v>153</v>
      </c>
      <c r="B21" s="682" t="s">
        <v>158</v>
      </c>
      <c r="C21" s="689">
        <f>'Order form'!U52</f>
        <v>0</v>
      </c>
      <c r="D21" s="680" t="str">
        <f>'Order form'!S50</f>
        <v>R40-CGUIDE</v>
      </c>
      <c r="E21" s="680" t="s">
        <v>730</v>
      </c>
      <c r="F21" s="217">
        <f>'Order form'!S52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378</v>
      </c>
      <c r="K21" s="219">
        <f>'Order form'!V53</f>
        <v>6</v>
      </c>
      <c r="L21" s="219">
        <f t="shared" si="0"/>
        <v>0</v>
      </c>
      <c r="M21" s="683">
        <f t="shared" si="1"/>
        <v>33</v>
      </c>
      <c r="N21" s="680">
        <f t="shared" si="2"/>
        <v>1</v>
      </c>
      <c r="O21" s="1180"/>
    </row>
    <row r="22" spans="1:31" s="684" customFormat="1" x14ac:dyDescent="0.25">
      <c r="A22" s="681" t="s">
        <v>153</v>
      </c>
      <c r="B22" s="682" t="s">
        <v>158</v>
      </c>
      <c r="C22" s="689">
        <f>'Order form'!Z52</f>
        <v>0</v>
      </c>
      <c r="D22" s="680" t="str">
        <f>'Order form'!X50</f>
        <v>R40-GUIDE</v>
      </c>
      <c r="E22" s="680" t="s">
        <v>731</v>
      </c>
      <c r="F22" s="217">
        <f>'Order form'!X52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378</v>
      </c>
      <c r="K22" s="219">
        <f>'Order form'!AA53</f>
        <v>6</v>
      </c>
      <c r="L22" s="219">
        <f t="shared" si="0"/>
        <v>0</v>
      </c>
      <c r="M22" s="683">
        <f t="shared" si="1"/>
        <v>36.828000000000003</v>
      </c>
      <c r="N22" s="680">
        <f t="shared" si="2"/>
        <v>1</v>
      </c>
      <c r="O22" s="220">
        <f>SUM(G13:G22)</f>
        <v>0</v>
      </c>
    </row>
    <row r="23" spans="1:31" s="386" customFormat="1" ht="12.6" customHeight="1" x14ac:dyDescent="0.25">
      <c r="A23" s="379" t="s">
        <v>153</v>
      </c>
      <c r="B23" s="380" t="s">
        <v>156</v>
      </c>
      <c r="C23" s="381">
        <f>'Order form'!F118*2+'Order form'!F64</f>
        <v>225</v>
      </c>
      <c r="D23" s="381" t="str">
        <f>'Order form'!D63</f>
        <v>H-1</v>
      </c>
      <c r="E23" s="381" t="s">
        <v>738</v>
      </c>
      <c r="F23" s="382">
        <f>'Order form'!D64</f>
        <v>0.55000000000000004</v>
      </c>
      <c r="G23" s="382">
        <f t="shared" si="3"/>
        <v>123.75000000000001</v>
      </c>
      <c r="H23" s="383">
        <v>0.1474</v>
      </c>
      <c r="I23" s="384">
        <f t="shared" si="4"/>
        <v>33.164999999999999</v>
      </c>
      <c r="J23" s="384" t="s">
        <v>22</v>
      </c>
      <c r="K23" s="384">
        <f>'Order form'!G65</f>
        <v>225</v>
      </c>
      <c r="L23" s="384">
        <f t="shared" si="0"/>
        <v>1</v>
      </c>
      <c r="M23" s="385">
        <f t="shared" si="1"/>
        <v>33.164999999999999</v>
      </c>
      <c r="N23" s="381">
        <f t="shared" si="2"/>
        <v>2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5" customHeight="1" x14ac:dyDescent="0.25">
      <c r="A24" s="379" t="s">
        <v>153</v>
      </c>
      <c r="B24" s="380" t="s">
        <v>156</v>
      </c>
      <c r="C24" s="381">
        <f>'Order form'!K64+('Order form'!K118*1)+('Order form'!P118*2)+('Order form'!Z118*4)</f>
        <v>50</v>
      </c>
      <c r="D24" s="381" t="str">
        <f>'Order form'!I63</f>
        <v>H-2</v>
      </c>
      <c r="E24" s="381" t="s">
        <v>739</v>
      </c>
      <c r="F24" s="382">
        <f>'Order form'!I64</f>
        <v>0.9</v>
      </c>
      <c r="G24" s="382">
        <f t="shared" si="3"/>
        <v>45</v>
      </c>
      <c r="H24" s="383">
        <v>0.20680000000000001</v>
      </c>
      <c r="I24" s="384">
        <f t="shared" si="4"/>
        <v>10.34</v>
      </c>
      <c r="J24" s="384" t="s">
        <v>22</v>
      </c>
      <c r="K24" s="384">
        <f>'Order form'!L65</f>
        <v>150</v>
      </c>
      <c r="L24" s="384">
        <f t="shared" si="0"/>
        <v>0.33333333333333331</v>
      </c>
      <c r="M24" s="385">
        <f t="shared" si="1"/>
        <v>31.020000000000003</v>
      </c>
      <c r="N24" s="381">
        <f t="shared" si="2"/>
        <v>3</v>
      </c>
      <c r="O24" s="403"/>
    </row>
    <row r="25" spans="1:31" s="386" customFormat="1" ht="12.45" customHeight="1" x14ac:dyDescent="0.25">
      <c r="A25" s="379" t="s">
        <v>153</v>
      </c>
      <c r="B25" s="380" t="s">
        <v>156</v>
      </c>
      <c r="C25" s="381">
        <f>'Order form'!P64+('Order form'!K118*1)</f>
        <v>50</v>
      </c>
      <c r="D25" s="381" t="str">
        <f>'Order form'!N63</f>
        <v>H-3</v>
      </c>
      <c r="E25" s="381" t="s">
        <v>740</v>
      </c>
      <c r="F25" s="382">
        <f>'Order form'!N64</f>
        <v>0.95</v>
      </c>
      <c r="G25" s="382">
        <f t="shared" si="3"/>
        <v>47.5</v>
      </c>
      <c r="H25" s="383">
        <v>0.26400000000000001</v>
      </c>
      <c r="I25" s="384">
        <f t="shared" si="4"/>
        <v>13.200000000000001</v>
      </c>
      <c r="J25" s="384" t="s">
        <v>22</v>
      </c>
      <c r="K25" s="384">
        <f>'Order form'!Q65</f>
        <v>60</v>
      </c>
      <c r="L25" s="384">
        <f t="shared" si="0"/>
        <v>0.83333333333333337</v>
      </c>
      <c r="M25" s="385">
        <f t="shared" si="1"/>
        <v>15.84</v>
      </c>
      <c r="N25" s="381">
        <f t="shared" si="2"/>
        <v>4</v>
      </c>
      <c r="O25" s="403"/>
    </row>
    <row r="26" spans="1:31" s="386" customFormat="1" ht="12.45" customHeight="1" x14ac:dyDescent="0.25">
      <c r="A26" s="379" t="s">
        <v>153</v>
      </c>
      <c r="B26" s="380" t="s">
        <v>156</v>
      </c>
      <c r="C26" s="381">
        <f>'Order form'!U64+('Order form'!P118*1)+('Order form'!U118*2)</f>
        <v>8</v>
      </c>
      <c r="D26" s="381" t="str">
        <f>'Order form'!S63</f>
        <v>H-4</v>
      </c>
      <c r="E26" s="381" t="s">
        <v>741</v>
      </c>
      <c r="F26" s="382">
        <f>'Order form'!S64</f>
        <v>0.85</v>
      </c>
      <c r="G26" s="382">
        <f t="shared" si="3"/>
        <v>6.8</v>
      </c>
      <c r="H26" s="383">
        <v>0.23320000000000002</v>
      </c>
      <c r="I26" s="384">
        <f t="shared" si="4"/>
        <v>1.8656000000000001</v>
      </c>
      <c r="J26" s="384" t="s">
        <v>22</v>
      </c>
      <c r="K26" s="384">
        <f>'Order form'!V65</f>
        <v>150</v>
      </c>
      <c r="L26" s="384">
        <f t="shared" si="0"/>
        <v>5.3333333333333337E-2</v>
      </c>
      <c r="M26" s="385">
        <f t="shared" si="1"/>
        <v>34.980000000000004</v>
      </c>
      <c r="N26" s="381">
        <f t="shared" si="2"/>
        <v>5</v>
      </c>
      <c r="O26" s="403"/>
    </row>
    <row r="27" spans="1:31" s="386" customFormat="1" ht="12.45" customHeight="1" x14ac:dyDescent="0.25">
      <c r="A27" s="379" t="s">
        <v>153</v>
      </c>
      <c r="B27" s="380" t="s">
        <v>156</v>
      </c>
      <c r="C27" s="381">
        <f>'Order form'!Z64+('Order form'!F129*2)</f>
        <v>10</v>
      </c>
      <c r="D27" s="381" t="str">
        <f>'Order form'!X63</f>
        <v>H-5</v>
      </c>
      <c r="E27" s="381" t="s">
        <v>742</v>
      </c>
      <c r="F27" s="382">
        <f>'Order form'!X64</f>
        <v>0.55000000000000004</v>
      </c>
      <c r="G27" s="382">
        <f t="shared" si="3"/>
        <v>5.5</v>
      </c>
      <c r="H27" s="383">
        <v>9.9000000000000005E-2</v>
      </c>
      <c r="I27" s="384">
        <f t="shared" si="4"/>
        <v>0.99</v>
      </c>
      <c r="J27" s="384" t="s">
        <v>22</v>
      </c>
      <c r="K27" s="384">
        <f>'Order form'!AA65</f>
        <v>225</v>
      </c>
      <c r="L27" s="384">
        <f t="shared" si="0"/>
        <v>4.4444444444444446E-2</v>
      </c>
      <c r="M27" s="385">
        <f t="shared" si="1"/>
        <v>22.275000000000002</v>
      </c>
      <c r="N27" s="381">
        <f t="shared" si="2"/>
        <v>6</v>
      </c>
      <c r="O27" s="403"/>
    </row>
    <row r="28" spans="1:31" s="386" customFormat="1" ht="12.45" customHeight="1" x14ac:dyDescent="0.25">
      <c r="A28" s="379" t="s">
        <v>153</v>
      </c>
      <c r="B28" s="380" t="s">
        <v>156</v>
      </c>
      <c r="C28" s="381">
        <f>'Order form'!F74+('Order form'!F129*2)+('Order form'!K129*2)+('Order form'!U140*4)</f>
        <v>10</v>
      </c>
      <c r="D28" s="381" t="str">
        <f>'Order form'!D73</f>
        <v>H-6</v>
      </c>
      <c r="E28" s="381" t="s">
        <v>743</v>
      </c>
      <c r="F28" s="382">
        <f>'Order form'!D74</f>
        <v>0.55000000000000004</v>
      </c>
      <c r="G28" s="382">
        <f t="shared" si="3"/>
        <v>5.5</v>
      </c>
      <c r="H28" s="383">
        <v>0.1298</v>
      </c>
      <c r="I28" s="384">
        <f t="shared" si="4"/>
        <v>1.298</v>
      </c>
      <c r="J28" s="384" t="s">
        <v>22</v>
      </c>
      <c r="K28" s="384">
        <f>'Order form'!G75</f>
        <v>225</v>
      </c>
      <c r="L28" s="384">
        <f t="shared" si="0"/>
        <v>4.4444444444444446E-2</v>
      </c>
      <c r="M28" s="385">
        <f t="shared" si="1"/>
        <v>29.204999999999998</v>
      </c>
      <c r="N28" s="381">
        <f t="shared" si="2"/>
        <v>7</v>
      </c>
      <c r="O28" s="403"/>
    </row>
    <row r="29" spans="1:31" s="386" customFormat="1" ht="12.45" customHeight="1" x14ac:dyDescent="0.25">
      <c r="A29" s="379" t="s">
        <v>153</v>
      </c>
      <c r="B29" s="380" t="s">
        <v>156</v>
      </c>
      <c r="C29" s="381">
        <f>'Order form'!K74+('Order form'!K129*2)</f>
        <v>0</v>
      </c>
      <c r="D29" s="381" t="str">
        <f>'Order form'!I73</f>
        <v>H-6A</v>
      </c>
      <c r="E29" s="381" t="s">
        <v>744</v>
      </c>
      <c r="F29" s="382">
        <f>'Order form'!I74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22</v>
      </c>
      <c r="K29" s="384">
        <f>'Order form'!L75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7</v>
      </c>
      <c r="O29" s="403"/>
    </row>
    <row r="30" spans="1:31" s="386" customFormat="1" ht="12.45" customHeight="1" x14ac:dyDescent="0.25">
      <c r="A30" s="379" t="s">
        <v>153</v>
      </c>
      <c r="B30" s="380" t="s">
        <v>156</v>
      </c>
      <c r="C30" s="381">
        <f>'Order form'!P74+('Order form'!P129*2)</f>
        <v>20</v>
      </c>
      <c r="D30" s="381" t="str">
        <f>'Order form'!N73</f>
        <v>H-7</v>
      </c>
      <c r="E30" s="381" t="s">
        <v>745</v>
      </c>
      <c r="F30" s="382">
        <f>'Order form'!N74</f>
        <v>0.55000000000000004</v>
      </c>
      <c r="G30" s="382">
        <f t="shared" si="3"/>
        <v>11</v>
      </c>
      <c r="H30" s="383">
        <v>0.10560000000000001</v>
      </c>
      <c r="I30" s="384">
        <f t="shared" si="4"/>
        <v>2.1120000000000001</v>
      </c>
      <c r="J30" s="384" t="s">
        <v>22</v>
      </c>
      <c r="K30" s="384">
        <f>'Order form'!Q75</f>
        <v>150</v>
      </c>
      <c r="L30" s="384">
        <f t="shared" si="0"/>
        <v>0.13333333333333333</v>
      </c>
      <c r="M30" s="385">
        <f t="shared" si="1"/>
        <v>15.840000000000002</v>
      </c>
      <c r="N30" s="381">
        <f t="shared" si="2"/>
        <v>8</v>
      </c>
      <c r="O30" s="403"/>
    </row>
    <row r="31" spans="1:31" s="386" customFormat="1" ht="12.45" customHeight="1" x14ac:dyDescent="0.25">
      <c r="A31" s="379" t="s">
        <v>153</v>
      </c>
      <c r="B31" s="380" t="s">
        <v>156</v>
      </c>
      <c r="C31" s="381">
        <f>'Order form'!U74+('Order form'!U129*2)</f>
        <v>0</v>
      </c>
      <c r="D31" s="381" t="str">
        <f>'Order form'!S73</f>
        <v>H-7A</v>
      </c>
      <c r="E31" s="381" t="s">
        <v>746</v>
      </c>
      <c r="F31" s="382">
        <f>'Order form'!S74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22</v>
      </c>
      <c r="K31" s="384">
        <f>'Order form'!V75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8</v>
      </c>
      <c r="O31" s="403"/>
    </row>
    <row r="32" spans="1:31" s="386" customFormat="1" ht="12.45" customHeight="1" x14ac:dyDescent="0.25">
      <c r="A32" s="379" t="s">
        <v>153</v>
      </c>
      <c r="B32" s="380" t="s">
        <v>156</v>
      </c>
      <c r="C32" s="381">
        <f>'Order form'!Z74+('Order form'!Z129*1)</f>
        <v>0</v>
      </c>
      <c r="D32" s="381" t="str">
        <f>'Order form'!X73</f>
        <v>H-8</v>
      </c>
      <c r="E32" s="381" t="s">
        <v>747</v>
      </c>
      <c r="F32" s="382">
        <f>'Order form'!X74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22</v>
      </c>
      <c r="K32" s="384">
        <f>'Order form'!AA75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8</v>
      </c>
      <c r="O32" s="403"/>
    </row>
    <row r="33" spans="1:15" s="386" customFormat="1" ht="12.45" customHeight="1" x14ac:dyDescent="0.25">
      <c r="A33" s="379" t="s">
        <v>153</v>
      </c>
      <c r="B33" s="380" t="s">
        <v>156</v>
      </c>
      <c r="C33" s="381">
        <f>'Order form'!F84+('Order form'!Z129*1)+('Order form'!F140*2)</f>
        <v>0</v>
      </c>
      <c r="D33" s="381" t="str">
        <f>'Order form'!D83</f>
        <v>H-9</v>
      </c>
      <c r="E33" s="381" t="s">
        <v>748</v>
      </c>
      <c r="F33" s="382">
        <f>'Order form'!D84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22</v>
      </c>
      <c r="K33" s="384">
        <f>'Order form'!G85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8</v>
      </c>
      <c r="O33" s="403"/>
    </row>
    <row r="34" spans="1:15" s="386" customFormat="1" ht="12.45" customHeight="1" x14ac:dyDescent="0.25">
      <c r="A34" s="379" t="s">
        <v>153</v>
      </c>
      <c r="B34" s="380" t="s">
        <v>156</v>
      </c>
      <c r="C34" s="381">
        <f>'Order form'!K84+('Order form'!K140*2)</f>
        <v>0</v>
      </c>
      <c r="D34" s="381" t="str">
        <f>'Order form'!I83</f>
        <v>H-12</v>
      </c>
      <c r="E34" s="381" t="s">
        <v>749</v>
      </c>
      <c r="F34" s="382">
        <f>'Order form'!I84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22</v>
      </c>
      <c r="K34" s="384">
        <f>'Order form'!L85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8</v>
      </c>
      <c r="O34" s="403"/>
    </row>
    <row r="35" spans="1:15" s="386" customFormat="1" ht="12.45" customHeight="1" x14ac:dyDescent="0.25">
      <c r="A35" s="379" t="s">
        <v>153</v>
      </c>
      <c r="B35" s="380" t="s">
        <v>156</v>
      </c>
      <c r="C35" s="381">
        <f>'Order form'!P84+('Order form'!P140*2)</f>
        <v>0</v>
      </c>
      <c r="D35" s="381" t="str">
        <f>'Order form'!N83</f>
        <v>H-13</v>
      </c>
      <c r="E35" s="381" t="s">
        <v>750</v>
      </c>
      <c r="F35" s="382">
        <f>'Order form'!N84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22</v>
      </c>
      <c r="K35" s="384">
        <f>'Order form'!Q85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8</v>
      </c>
      <c r="O35" s="403"/>
    </row>
    <row r="36" spans="1:15" s="386" customFormat="1" ht="12.45" customHeight="1" x14ac:dyDescent="0.25">
      <c r="A36" s="379" t="s">
        <v>153</v>
      </c>
      <c r="B36" s="380" t="s">
        <v>156</v>
      </c>
      <c r="C36" s="381">
        <f>'Order form'!U84+('Order form'!U140*2)</f>
        <v>0</v>
      </c>
      <c r="D36" s="381" t="str">
        <f>'Order form'!S83</f>
        <v>H-14</v>
      </c>
      <c r="E36" s="381" t="s">
        <v>751</v>
      </c>
      <c r="F36" s="382">
        <f>'Order form'!S84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22</v>
      </c>
      <c r="K36" s="384">
        <f>'Order form'!V85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8</v>
      </c>
      <c r="O36" s="403"/>
    </row>
    <row r="37" spans="1:15" s="386" customFormat="1" ht="12.45" customHeight="1" x14ac:dyDescent="0.25">
      <c r="A37" s="379" t="s">
        <v>153</v>
      </c>
      <c r="B37" s="380" t="s">
        <v>156</v>
      </c>
      <c r="C37" s="381">
        <f>'Order form'!Z84+('Order form'!Z140*1)</f>
        <v>0</v>
      </c>
      <c r="D37" s="381" t="str">
        <f>'Order form'!X83</f>
        <v>H-15</v>
      </c>
      <c r="E37" s="381" t="s">
        <v>752</v>
      </c>
      <c r="F37" s="382">
        <f>'Order form'!X84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22</v>
      </c>
      <c r="K37" s="384">
        <f>'Order form'!AA85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8</v>
      </c>
      <c r="O37" s="403"/>
    </row>
    <row r="38" spans="1:15" s="386" customFormat="1" ht="12.45" customHeight="1" x14ac:dyDescent="0.25">
      <c r="A38" s="379" t="s">
        <v>153</v>
      </c>
      <c r="B38" s="380" t="s">
        <v>156</v>
      </c>
      <c r="C38" s="381">
        <f>'Order form'!F94+('Order form'!Z140*1)</f>
        <v>0</v>
      </c>
      <c r="D38" s="381" t="str">
        <f>'Order form'!D93</f>
        <v>H-16</v>
      </c>
      <c r="E38" s="381" t="s">
        <v>753</v>
      </c>
      <c r="F38" s="382">
        <f>'Order form'!D94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22</v>
      </c>
      <c r="K38" s="384">
        <f>'Order form'!G95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8</v>
      </c>
      <c r="O38" s="403"/>
    </row>
    <row r="39" spans="1:15" s="386" customFormat="1" ht="12" customHeight="1" x14ac:dyDescent="0.25">
      <c r="A39" s="379" t="s">
        <v>153</v>
      </c>
      <c r="B39" s="380" t="s">
        <v>156</v>
      </c>
      <c r="C39" s="381">
        <f>'Order form'!K94+('Order form'!F151*1)</f>
        <v>0</v>
      </c>
      <c r="D39" s="381" t="str">
        <f>'Order form'!I93</f>
        <v>H-17</v>
      </c>
      <c r="E39" s="381" t="s">
        <v>754</v>
      </c>
      <c r="F39" s="382">
        <f>'Order form'!I94</f>
        <v>0.8</v>
      </c>
      <c r="G39" s="382">
        <f t="shared" si="3"/>
        <v>0</v>
      </c>
      <c r="H39" s="383">
        <v>0.15180000000000002</v>
      </c>
      <c r="I39" s="384">
        <f t="shared" si="4"/>
        <v>0</v>
      </c>
      <c r="J39" s="384" t="s">
        <v>22</v>
      </c>
      <c r="K39" s="384">
        <f>'Order form'!L95</f>
        <v>145</v>
      </c>
      <c r="L39" s="384">
        <f t="shared" si="0"/>
        <v>0</v>
      </c>
      <c r="M39" s="385">
        <f t="shared" si="1"/>
        <v>22.011000000000003</v>
      </c>
      <c r="N39" s="381">
        <f t="shared" si="2"/>
        <v>8</v>
      </c>
      <c r="O39" s="403"/>
    </row>
    <row r="40" spans="1:15" s="386" customFormat="1" ht="12" customHeight="1" x14ac:dyDescent="0.25">
      <c r="A40" s="379" t="s">
        <v>153</v>
      </c>
      <c r="B40" s="380" t="s">
        <v>156</v>
      </c>
      <c r="C40" s="381">
        <f>'Order form'!P94+('Order form'!F151*1)</f>
        <v>0</v>
      </c>
      <c r="D40" s="381" t="str">
        <f>'Order form'!N93</f>
        <v>H-18</v>
      </c>
      <c r="E40" s="381" t="s">
        <v>755</v>
      </c>
      <c r="F40" s="382">
        <f>'Order form'!N94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22</v>
      </c>
      <c r="K40" s="384">
        <f>'Order form'!Q95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8</v>
      </c>
      <c r="O40" s="403"/>
    </row>
    <row r="41" spans="1:15" s="386" customFormat="1" ht="12" customHeight="1" x14ac:dyDescent="0.25">
      <c r="A41" s="379" t="s">
        <v>153</v>
      </c>
      <c r="B41" s="380" t="s">
        <v>156</v>
      </c>
      <c r="C41" s="381">
        <f>'Order form'!U94+('Order form'!K151*2)</f>
        <v>0</v>
      </c>
      <c r="D41" s="381" t="str">
        <f>'Order form'!S93</f>
        <v>H-19</v>
      </c>
      <c r="E41" s="381" t="s">
        <v>756</v>
      </c>
      <c r="F41" s="382">
        <f>'Order form'!S94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22</v>
      </c>
      <c r="K41" s="384">
        <f>'Order form'!V95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8</v>
      </c>
      <c r="O41" s="403"/>
    </row>
    <row r="42" spans="1:15" s="386" customFormat="1" ht="12" customHeight="1" x14ac:dyDescent="0.25">
      <c r="A42" s="379" t="s">
        <v>153</v>
      </c>
      <c r="B42" s="380" t="s">
        <v>156</v>
      </c>
      <c r="C42" s="381">
        <f>'Order form'!Z94+('Order form'!P151*2)</f>
        <v>0</v>
      </c>
      <c r="D42" s="381" t="str">
        <f>'Order form'!X93</f>
        <v>H-90</v>
      </c>
      <c r="E42" s="381" t="s">
        <v>757</v>
      </c>
      <c r="F42" s="382">
        <f>'Order form'!X94</f>
        <v>0.8</v>
      </c>
      <c r="G42" s="382">
        <f t="shared" si="3"/>
        <v>0</v>
      </c>
      <c r="H42" s="383">
        <v>0.22440000000000002</v>
      </c>
      <c r="I42" s="384">
        <f>C42*H42</f>
        <v>0</v>
      </c>
      <c r="J42" s="384" t="s">
        <v>22</v>
      </c>
      <c r="K42" s="384">
        <f>'Order form'!AA95</f>
        <v>100</v>
      </c>
      <c r="L42" s="384">
        <f t="shared" si="0"/>
        <v>0</v>
      </c>
      <c r="M42" s="385">
        <f t="shared" si="1"/>
        <v>22.44</v>
      </c>
      <c r="N42" s="381">
        <f t="shared" si="2"/>
        <v>8</v>
      </c>
      <c r="O42" s="403"/>
    </row>
    <row r="43" spans="1:15" s="386" customFormat="1" ht="12" customHeight="1" x14ac:dyDescent="0.25">
      <c r="A43" s="379" t="s">
        <v>153</v>
      </c>
      <c r="B43" s="380" t="s">
        <v>156</v>
      </c>
      <c r="C43" s="381">
        <f>'Order form'!F104</f>
        <v>0</v>
      </c>
      <c r="D43" s="381" t="str">
        <f>'Order form'!D103</f>
        <v>HJ-MS</v>
      </c>
      <c r="E43" s="381" t="s">
        <v>758</v>
      </c>
      <c r="F43" s="382">
        <f>'Order form'!D104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22</v>
      </c>
      <c r="K43" s="384">
        <f>'Order form'!G105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8</v>
      </c>
      <c r="O43" s="403"/>
    </row>
    <row r="44" spans="1:15" s="386" customFormat="1" ht="12" customHeight="1" thickBot="1" x14ac:dyDescent="0.3">
      <c r="A44" s="379" t="s">
        <v>153</v>
      </c>
      <c r="B44" s="380" t="s">
        <v>156</v>
      </c>
      <c r="C44" s="381">
        <f>'Order form'!K104</f>
        <v>0</v>
      </c>
      <c r="D44" s="381" t="str">
        <f>'Order form'!I103</f>
        <v>HJ-DS</v>
      </c>
      <c r="E44" s="381" t="s">
        <v>759</v>
      </c>
      <c r="F44" s="382">
        <f>'Order form'!I104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22</v>
      </c>
      <c r="K44" s="384">
        <f>'Order form'!L105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8</v>
      </c>
      <c r="O44" s="629">
        <f>SUM(G23:G44)</f>
        <v>245.05</v>
      </c>
    </row>
    <row r="45" spans="1:15" s="700" customFormat="1" ht="12" customHeight="1" thickTop="1" thickBot="1" x14ac:dyDescent="0.3">
      <c r="A45" s="692" t="s">
        <v>153</v>
      </c>
      <c r="B45" s="693"/>
      <c r="C45" s="694"/>
      <c r="D45" s="694" t="str">
        <f>'Order form'!D115</f>
        <v>HJ-1</v>
      </c>
      <c r="E45" s="694" t="s">
        <v>760</v>
      </c>
      <c r="F45" s="695">
        <f>'Order form'!D118</f>
        <v>1.2500000000000002</v>
      </c>
      <c r="G45" s="695">
        <f t="shared" si="3"/>
        <v>0</v>
      </c>
      <c r="H45" s="696">
        <v>0.31460000000000005</v>
      </c>
      <c r="I45" s="697"/>
      <c r="J45" s="697" t="s">
        <v>380</v>
      </c>
      <c r="K45" s="697"/>
      <c r="L45" s="697"/>
      <c r="M45" s="698"/>
      <c r="N45" s="694">
        <f t="shared" si="2"/>
        <v>8</v>
      </c>
      <c r="O45" s="699"/>
    </row>
    <row r="46" spans="1:15" s="700" customFormat="1" ht="12" customHeight="1" thickTop="1" thickBot="1" x14ac:dyDescent="0.3">
      <c r="A46" s="692" t="s">
        <v>153</v>
      </c>
      <c r="B46" s="693"/>
      <c r="C46" s="694"/>
      <c r="D46" s="694" t="str">
        <f>'Order form'!I115</f>
        <v>HJ-2</v>
      </c>
      <c r="E46" s="694" t="s">
        <v>761</v>
      </c>
      <c r="F46" s="695">
        <f>'Order form'!I118</f>
        <v>2.1500000000000004</v>
      </c>
      <c r="G46" s="695">
        <f t="shared" si="3"/>
        <v>0</v>
      </c>
      <c r="H46" s="696">
        <v>0.51039999999999996</v>
      </c>
      <c r="I46" s="697"/>
      <c r="J46" s="697" t="s">
        <v>380</v>
      </c>
      <c r="K46" s="697"/>
      <c r="L46" s="697"/>
      <c r="M46" s="698"/>
      <c r="N46" s="694">
        <f t="shared" si="2"/>
        <v>8</v>
      </c>
      <c r="O46" s="699"/>
    </row>
    <row r="47" spans="1:15" s="700" customFormat="1" ht="12" customHeight="1" thickTop="1" thickBot="1" x14ac:dyDescent="0.3">
      <c r="A47" s="692" t="s">
        <v>153</v>
      </c>
      <c r="B47" s="693"/>
      <c r="C47" s="694"/>
      <c r="D47" s="694" t="str">
        <f>'Order form'!N115</f>
        <v>HJ-3</v>
      </c>
      <c r="E47" s="694" t="s">
        <v>762</v>
      </c>
      <c r="F47" s="695">
        <f>'Order form'!N118</f>
        <v>3.0999999999999996</v>
      </c>
      <c r="G47" s="695">
        <f t="shared" si="3"/>
        <v>0</v>
      </c>
      <c r="H47" s="696">
        <v>0.70620000000000005</v>
      </c>
      <c r="I47" s="697"/>
      <c r="J47" s="697" t="s">
        <v>380</v>
      </c>
      <c r="K47" s="697"/>
      <c r="L47" s="697"/>
      <c r="M47" s="698"/>
      <c r="N47" s="694">
        <f t="shared" si="2"/>
        <v>8</v>
      </c>
      <c r="O47" s="699"/>
    </row>
    <row r="48" spans="1:15" s="700" customFormat="1" ht="12" customHeight="1" thickTop="1" thickBot="1" x14ac:dyDescent="0.3">
      <c r="A48" s="692" t="s">
        <v>153</v>
      </c>
      <c r="B48" s="693"/>
      <c r="C48" s="694"/>
      <c r="D48" s="694" t="str">
        <f>'Order form'!S115</f>
        <v>HJ-4</v>
      </c>
      <c r="E48" s="694" t="s">
        <v>763</v>
      </c>
      <c r="F48" s="695">
        <f>'Order form'!S118</f>
        <v>2</v>
      </c>
      <c r="G48" s="695">
        <f t="shared" si="3"/>
        <v>0</v>
      </c>
      <c r="H48" s="696">
        <v>0.50600000000000001</v>
      </c>
      <c r="I48" s="697"/>
      <c r="J48" s="697" t="s">
        <v>380</v>
      </c>
      <c r="K48" s="697"/>
      <c r="L48" s="697"/>
      <c r="M48" s="698"/>
      <c r="N48" s="694">
        <f t="shared" si="2"/>
        <v>8</v>
      </c>
      <c r="O48" s="699"/>
    </row>
    <row r="49" spans="1:15" s="700" customFormat="1" ht="12" customHeight="1" thickTop="1" thickBot="1" x14ac:dyDescent="0.3">
      <c r="A49" s="692" t="s">
        <v>153</v>
      </c>
      <c r="B49" s="693"/>
      <c r="C49" s="694"/>
      <c r="D49" s="694" t="str">
        <f>'Order form'!X115</f>
        <v>HJ-5</v>
      </c>
      <c r="E49" s="694" t="s">
        <v>764</v>
      </c>
      <c r="F49" s="695">
        <f>'Order form'!X118</f>
        <v>4.2</v>
      </c>
      <c r="G49" s="695">
        <f t="shared" si="3"/>
        <v>0</v>
      </c>
      <c r="H49" s="696">
        <v>0.90640000000000009</v>
      </c>
      <c r="I49" s="697"/>
      <c r="J49" s="697" t="s">
        <v>380</v>
      </c>
      <c r="K49" s="697"/>
      <c r="L49" s="697"/>
      <c r="M49" s="698"/>
      <c r="N49" s="694">
        <f t="shared" si="2"/>
        <v>8</v>
      </c>
      <c r="O49" s="699"/>
    </row>
    <row r="50" spans="1:15" s="700" customFormat="1" ht="12" customHeight="1" thickTop="1" thickBot="1" x14ac:dyDescent="0.3">
      <c r="A50" s="692" t="s">
        <v>153</v>
      </c>
      <c r="B50" s="693"/>
      <c r="C50" s="694"/>
      <c r="D50" s="694" t="str">
        <f>'Order form'!D126</f>
        <v>HJ-6</v>
      </c>
      <c r="E50" s="694" t="s">
        <v>765</v>
      </c>
      <c r="F50" s="695">
        <f>'Order form'!D129</f>
        <v>2.5000000000000004</v>
      </c>
      <c r="G50" s="695">
        <f t="shared" si="3"/>
        <v>0</v>
      </c>
      <c r="H50" s="696">
        <v>0.49719999999999998</v>
      </c>
      <c r="I50" s="697"/>
      <c r="J50" s="697" t="s">
        <v>380</v>
      </c>
      <c r="K50" s="697"/>
      <c r="L50" s="697"/>
      <c r="M50" s="698"/>
      <c r="N50" s="694">
        <f t="shared" si="2"/>
        <v>8</v>
      </c>
      <c r="O50" s="699"/>
    </row>
    <row r="51" spans="1:15" s="700" customFormat="1" ht="12" customHeight="1" thickTop="1" thickBot="1" x14ac:dyDescent="0.3">
      <c r="A51" s="692" t="s">
        <v>153</v>
      </c>
      <c r="B51" s="693"/>
      <c r="C51" s="694"/>
      <c r="D51" s="694" t="str">
        <f>'Order form'!I126</f>
        <v>HJ-6A</v>
      </c>
      <c r="E51" s="694" t="s">
        <v>766</v>
      </c>
      <c r="F51" s="695">
        <f>'Order form'!I129</f>
        <v>4.05</v>
      </c>
      <c r="G51" s="695">
        <f t="shared" si="3"/>
        <v>0</v>
      </c>
      <c r="H51" s="696">
        <v>0.60940000000000005</v>
      </c>
      <c r="I51" s="697"/>
      <c r="J51" s="697" t="s">
        <v>380</v>
      </c>
      <c r="K51" s="697"/>
      <c r="L51" s="697"/>
      <c r="M51" s="698"/>
      <c r="N51" s="694">
        <f t="shared" si="2"/>
        <v>8</v>
      </c>
      <c r="O51" s="699"/>
    </row>
    <row r="52" spans="1:15" s="700" customFormat="1" ht="12" customHeight="1" thickTop="1" thickBot="1" x14ac:dyDescent="0.3">
      <c r="A52" s="692" t="s">
        <v>153</v>
      </c>
      <c r="B52" s="693"/>
      <c r="C52" s="694"/>
      <c r="D52" s="694" t="str">
        <f>'Order form'!N126</f>
        <v>HJ-7</v>
      </c>
      <c r="E52" s="694" t="s">
        <v>767</v>
      </c>
      <c r="F52" s="695">
        <f>'Order form'!N129</f>
        <v>1.2500000000000002</v>
      </c>
      <c r="G52" s="695">
        <f t="shared" si="3"/>
        <v>0</v>
      </c>
      <c r="H52" s="696">
        <v>0.23100000000000004</v>
      </c>
      <c r="I52" s="697"/>
      <c r="J52" s="697" t="s">
        <v>380</v>
      </c>
      <c r="K52" s="697"/>
      <c r="L52" s="697"/>
      <c r="M52" s="698"/>
      <c r="N52" s="694">
        <f t="shared" si="2"/>
        <v>8</v>
      </c>
      <c r="O52" s="699"/>
    </row>
    <row r="53" spans="1:15" s="700" customFormat="1" ht="12" customHeight="1" thickTop="1" thickBot="1" x14ac:dyDescent="0.3">
      <c r="A53" s="692" t="s">
        <v>153</v>
      </c>
      <c r="B53" s="693"/>
      <c r="C53" s="694"/>
      <c r="D53" s="694" t="str">
        <f>'Order form'!S126</f>
        <v>HJ-7A</v>
      </c>
      <c r="E53" s="694" t="s">
        <v>768</v>
      </c>
      <c r="F53" s="695">
        <f>'Order form'!S129</f>
        <v>1.55</v>
      </c>
      <c r="G53" s="695">
        <f t="shared" si="3"/>
        <v>0</v>
      </c>
      <c r="H53" s="696">
        <v>0.1958</v>
      </c>
      <c r="I53" s="697"/>
      <c r="J53" s="697" t="s">
        <v>380</v>
      </c>
      <c r="K53" s="697"/>
      <c r="L53" s="697"/>
      <c r="M53" s="698"/>
      <c r="N53" s="694">
        <f t="shared" si="2"/>
        <v>8</v>
      </c>
      <c r="O53" s="699"/>
    </row>
    <row r="54" spans="1:15" s="700" customFormat="1" ht="12" customHeight="1" thickTop="1" thickBot="1" x14ac:dyDescent="0.3">
      <c r="A54" s="692" t="s">
        <v>153</v>
      </c>
      <c r="B54" s="693"/>
      <c r="C54" s="694"/>
      <c r="D54" s="694" t="str">
        <f>'Order form'!X126</f>
        <v>HJ-8</v>
      </c>
      <c r="E54" s="694" t="s">
        <v>769</v>
      </c>
      <c r="F54" s="695">
        <f>'Order form'!X129</f>
        <v>2.0499999999999998</v>
      </c>
      <c r="G54" s="695">
        <f t="shared" si="3"/>
        <v>0</v>
      </c>
      <c r="H54" s="696">
        <v>0.30360000000000004</v>
      </c>
      <c r="I54" s="697"/>
      <c r="J54" s="697" t="s">
        <v>380</v>
      </c>
      <c r="K54" s="697"/>
      <c r="L54" s="697"/>
      <c r="M54" s="698"/>
      <c r="N54" s="694">
        <f t="shared" si="2"/>
        <v>8</v>
      </c>
      <c r="O54" s="699"/>
    </row>
    <row r="55" spans="1:15" s="700" customFormat="1" ht="12" customHeight="1" thickTop="1" thickBot="1" x14ac:dyDescent="0.3">
      <c r="A55" s="692" t="s">
        <v>153</v>
      </c>
      <c r="B55" s="693"/>
      <c r="C55" s="694"/>
      <c r="D55" s="694" t="str">
        <f>'Order form'!D137</f>
        <v>HJ-9</v>
      </c>
      <c r="E55" s="694" t="s">
        <v>770</v>
      </c>
      <c r="F55" s="695">
        <f>'Order form'!D140</f>
        <v>2.0499999999999998</v>
      </c>
      <c r="G55" s="695">
        <f t="shared" si="3"/>
        <v>0</v>
      </c>
      <c r="H55" s="696">
        <v>0.29260000000000003</v>
      </c>
      <c r="I55" s="697"/>
      <c r="J55" s="697" t="s">
        <v>380</v>
      </c>
      <c r="K55" s="697"/>
      <c r="L55" s="697"/>
      <c r="M55" s="698"/>
      <c r="N55" s="694">
        <f t="shared" si="2"/>
        <v>8</v>
      </c>
      <c r="O55" s="699"/>
    </row>
    <row r="56" spans="1:15" s="700" customFormat="1" ht="12" customHeight="1" thickTop="1" thickBot="1" x14ac:dyDescent="0.3">
      <c r="A56" s="692" t="s">
        <v>153</v>
      </c>
      <c r="B56" s="693"/>
      <c r="C56" s="694"/>
      <c r="D56" s="694" t="str">
        <f>'Order form'!I137</f>
        <v>HJ-12</v>
      </c>
      <c r="E56" s="694" t="s">
        <v>771</v>
      </c>
      <c r="F56" s="695">
        <f>'Order form'!I140</f>
        <v>2.0999999999999996</v>
      </c>
      <c r="G56" s="695">
        <f t="shared" si="3"/>
        <v>0</v>
      </c>
      <c r="H56" s="696">
        <v>0.31020000000000003</v>
      </c>
      <c r="I56" s="697"/>
      <c r="J56" s="697" t="s">
        <v>380</v>
      </c>
      <c r="K56" s="697"/>
      <c r="L56" s="697"/>
      <c r="M56" s="698"/>
      <c r="N56" s="694">
        <f t="shared" si="2"/>
        <v>8</v>
      </c>
      <c r="O56" s="699"/>
    </row>
    <row r="57" spans="1:15" s="700" customFormat="1" ht="12" customHeight="1" thickTop="1" thickBot="1" x14ac:dyDescent="0.3">
      <c r="A57" s="692" t="s">
        <v>153</v>
      </c>
      <c r="B57" s="693"/>
      <c r="C57" s="694"/>
      <c r="D57" s="694" t="str">
        <f>'Order form'!N137</f>
        <v>HJ-13</v>
      </c>
      <c r="E57" s="694" t="s">
        <v>772</v>
      </c>
      <c r="F57" s="695">
        <f>'Order form'!N140</f>
        <v>1.33</v>
      </c>
      <c r="G57" s="695">
        <f t="shared" si="3"/>
        <v>0</v>
      </c>
      <c r="H57" s="696">
        <v>0.253</v>
      </c>
      <c r="I57" s="697"/>
      <c r="J57" s="697" t="s">
        <v>380</v>
      </c>
      <c r="K57" s="697"/>
      <c r="L57" s="697"/>
      <c r="M57" s="698"/>
      <c r="N57" s="694">
        <f t="shared" si="2"/>
        <v>8</v>
      </c>
      <c r="O57" s="699"/>
    </row>
    <row r="58" spans="1:15" s="700" customFormat="1" ht="12" customHeight="1" thickTop="1" thickBot="1" x14ac:dyDescent="0.3">
      <c r="A58" s="692" t="s">
        <v>153</v>
      </c>
      <c r="B58" s="693"/>
      <c r="C58" s="694"/>
      <c r="D58" s="694" t="str">
        <f>'Order form'!S137</f>
        <v>HJ-14</v>
      </c>
      <c r="E58" s="694" t="s">
        <v>773</v>
      </c>
      <c r="F58" s="695">
        <f>'Order form'!S140</f>
        <v>4.4000000000000004</v>
      </c>
      <c r="G58" s="695">
        <f t="shared" si="3"/>
        <v>0</v>
      </c>
      <c r="H58" s="696">
        <v>0.84480000000000011</v>
      </c>
      <c r="I58" s="697"/>
      <c r="J58" s="697" t="s">
        <v>380</v>
      </c>
      <c r="K58" s="697"/>
      <c r="L58" s="697"/>
      <c r="M58" s="698"/>
      <c r="N58" s="694">
        <f t="shared" si="2"/>
        <v>8</v>
      </c>
      <c r="O58" s="699"/>
    </row>
    <row r="59" spans="1:15" s="700" customFormat="1" ht="12" customHeight="1" thickTop="1" thickBot="1" x14ac:dyDescent="0.3">
      <c r="A59" s="692" t="s">
        <v>153</v>
      </c>
      <c r="B59" s="693"/>
      <c r="C59" s="694"/>
      <c r="D59" s="694" t="str">
        <f>'Order form'!X137</f>
        <v>HJ-15</v>
      </c>
      <c r="E59" s="694" t="s">
        <v>774</v>
      </c>
      <c r="F59" s="695">
        <f>'Order form'!X140</f>
        <v>1.7600000000000002</v>
      </c>
      <c r="G59" s="695">
        <f t="shared" si="3"/>
        <v>0</v>
      </c>
      <c r="H59" s="696">
        <v>0.20020000000000002</v>
      </c>
      <c r="I59" s="697"/>
      <c r="J59" s="697" t="s">
        <v>380</v>
      </c>
      <c r="K59" s="697"/>
      <c r="L59" s="697"/>
      <c r="M59" s="698"/>
      <c r="N59" s="694">
        <f t="shared" si="2"/>
        <v>8</v>
      </c>
      <c r="O59" s="699"/>
    </row>
    <row r="60" spans="1:15" s="700" customFormat="1" ht="12" customHeight="1" thickTop="1" thickBot="1" x14ac:dyDescent="0.3">
      <c r="A60" s="692" t="s">
        <v>153</v>
      </c>
      <c r="B60" s="693"/>
      <c r="C60" s="694"/>
      <c r="D60" s="694" t="str">
        <f>'Order form'!D148</f>
        <v>HJ-17</v>
      </c>
      <c r="E60" s="694" t="s">
        <v>775</v>
      </c>
      <c r="F60" s="695">
        <f>'Order form'!D151</f>
        <v>1.7500000000000002</v>
      </c>
      <c r="G60" s="695">
        <f t="shared" si="3"/>
        <v>0</v>
      </c>
      <c r="H60" s="696">
        <v>0.32340000000000008</v>
      </c>
      <c r="I60" s="697"/>
      <c r="J60" s="697" t="s">
        <v>380</v>
      </c>
      <c r="K60" s="697"/>
      <c r="L60" s="697"/>
      <c r="M60" s="698"/>
      <c r="N60" s="694">
        <f t="shared" si="2"/>
        <v>8</v>
      </c>
      <c r="O60" s="699"/>
    </row>
    <row r="61" spans="1:15" s="700" customFormat="1" ht="12" customHeight="1" thickTop="1" thickBot="1" x14ac:dyDescent="0.3">
      <c r="A61" s="692" t="s">
        <v>153</v>
      </c>
      <c r="B61" s="693"/>
      <c r="C61" s="694"/>
      <c r="D61" s="694" t="str">
        <f>'Order form'!I148</f>
        <v>HJ-19</v>
      </c>
      <c r="E61" s="694" t="s">
        <v>776</v>
      </c>
      <c r="F61" s="695">
        <f>'Order form'!I151</f>
        <v>2.5499999999999998</v>
      </c>
      <c r="G61" s="695">
        <f t="shared" si="3"/>
        <v>0</v>
      </c>
      <c r="H61" s="696">
        <v>0.31900000000000006</v>
      </c>
      <c r="I61" s="697"/>
      <c r="J61" s="697" t="s">
        <v>380</v>
      </c>
      <c r="K61" s="697"/>
      <c r="L61" s="697"/>
      <c r="M61" s="698"/>
      <c r="N61" s="694">
        <f t="shared" si="2"/>
        <v>8</v>
      </c>
      <c r="O61" s="699"/>
    </row>
    <row r="62" spans="1:15" s="700" customFormat="1" ht="12" customHeight="1" thickTop="1" x14ac:dyDescent="0.25">
      <c r="A62" s="692" t="s">
        <v>153</v>
      </c>
      <c r="B62" s="693"/>
      <c r="C62" s="694"/>
      <c r="D62" s="694" t="str">
        <f>'Order form'!N148</f>
        <v>HJ-90</v>
      </c>
      <c r="E62" s="694" t="s">
        <v>777</v>
      </c>
      <c r="F62" s="695">
        <f>'Order form'!N151</f>
        <v>1.9</v>
      </c>
      <c r="G62" s="695">
        <f t="shared" si="3"/>
        <v>0</v>
      </c>
      <c r="H62" s="701">
        <v>0.4884</v>
      </c>
      <c r="I62" s="697"/>
      <c r="J62" s="697" t="s">
        <v>380</v>
      </c>
      <c r="K62" s="697"/>
      <c r="L62" s="697"/>
      <c r="M62" s="698"/>
      <c r="N62" s="694">
        <f t="shared" si="2"/>
        <v>8</v>
      </c>
      <c r="O62" s="702"/>
    </row>
    <row r="63" spans="1:15" s="386" customFormat="1" ht="12" customHeight="1" x14ac:dyDescent="0.25">
      <c r="A63" s="379" t="s">
        <v>153</v>
      </c>
      <c r="B63" s="380" t="s">
        <v>156</v>
      </c>
      <c r="C63" s="381">
        <f>'Order form'!F162+('Order form'!F206*2)</f>
        <v>0</v>
      </c>
      <c r="D63" s="381" t="str">
        <f>'Order form'!D161</f>
        <v>H-1NP</v>
      </c>
      <c r="E63" s="381" t="s">
        <v>778</v>
      </c>
      <c r="F63" s="382">
        <f>'Order form'!D162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22</v>
      </c>
      <c r="K63" s="384">
        <f>'Order form'!G163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8</v>
      </c>
      <c r="O63" s="1189"/>
    </row>
    <row r="64" spans="1:15" s="386" customFormat="1" ht="12" customHeight="1" x14ac:dyDescent="0.25">
      <c r="A64" s="379" t="s">
        <v>153</v>
      </c>
      <c r="B64" s="380" t="s">
        <v>156</v>
      </c>
      <c r="C64" s="381">
        <f>'Order form'!K162+('Order form'!K206*1)+('Order form'!P206*2)+('Order form'!Z206*4)</f>
        <v>0</v>
      </c>
      <c r="D64" s="381" t="str">
        <f>'Order form'!I161</f>
        <v>H-2NP</v>
      </c>
      <c r="E64" s="381" t="s">
        <v>779</v>
      </c>
      <c r="F64" s="382">
        <f>'Order form'!I162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22</v>
      </c>
      <c r="K64" s="384">
        <f>'Order form'!L163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8</v>
      </c>
      <c r="O64" s="1189"/>
    </row>
    <row r="65" spans="1:15" s="386" customFormat="1" ht="12" customHeight="1" x14ac:dyDescent="0.25">
      <c r="A65" s="379" t="s">
        <v>153</v>
      </c>
      <c r="B65" s="380" t="s">
        <v>156</v>
      </c>
      <c r="C65" s="381">
        <f>'Order form'!P162+('Order form'!K206*1)</f>
        <v>0</v>
      </c>
      <c r="D65" s="381" t="str">
        <f>'Order form'!N161</f>
        <v>H-3NP</v>
      </c>
      <c r="E65" s="381" t="s">
        <v>780</v>
      </c>
      <c r="F65" s="382">
        <f>'Order form'!N162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22</v>
      </c>
      <c r="K65" s="384">
        <f>'Order form'!Q163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8</v>
      </c>
      <c r="O65" s="1189"/>
    </row>
    <row r="66" spans="1:15" s="386" customFormat="1" ht="12" customHeight="1" x14ac:dyDescent="0.25">
      <c r="A66" s="379" t="s">
        <v>153</v>
      </c>
      <c r="B66" s="380" t="s">
        <v>156</v>
      </c>
      <c r="C66" s="381">
        <f>'Order form'!U162+('Order form'!P206*1)+('Order form'!U206*2)</f>
        <v>0</v>
      </c>
      <c r="D66" s="381" t="str">
        <f>'Order form'!S161</f>
        <v>H-4NP</v>
      </c>
      <c r="E66" s="381" t="s">
        <v>781</v>
      </c>
      <c r="F66" s="382">
        <f>'Order form'!S162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22</v>
      </c>
      <c r="K66" s="384">
        <f>'Order form'!V163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8</v>
      </c>
      <c r="O66" s="1189"/>
    </row>
    <row r="67" spans="1:15" s="386" customFormat="1" ht="12" customHeight="1" x14ac:dyDescent="0.25">
      <c r="A67" s="379" t="s">
        <v>153</v>
      </c>
      <c r="B67" s="380" t="s">
        <v>156</v>
      </c>
      <c r="C67" s="381">
        <f>'Order form'!Z162+('Order form'!F217*2)</f>
        <v>0</v>
      </c>
      <c r="D67" s="381" t="str">
        <f>'Order form'!X161</f>
        <v>H-5NP</v>
      </c>
      <c r="E67" s="381" t="s">
        <v>782</v>
      </c>
      <c r="F67" s="382">
        <f>'Order form'!X162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22</v>
      </c>
      <c r="K67" s="384">
        <f>'Order form'!AA163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8</v>
      </c>
      <c r="O67" s="1189"/>
    </row>
    <row r="68" spans="1:15" s="386" customFormat="1" ht="12" customHeight="1" x14ac:dyDescent="0.25">
      <c r="A68" s="379" t="s">
        <v>153</v>
      </c>
      <c r="B68" s="380" t="s">
        <v>156</v>
      </c>
      <c r="C68" s="381">
        <f>'Order form'!F172+('Order form'!F217*2)+('Order form'!K217*2)+('Order form'!U228*4)</f>
        <v>0</v>
      </c>
      <c r="D68" s="381" t="str">
        <f>'Order form'!D171</f>
        <v>H-6NP</v>
      </c>
      <c r="E68" s="381" t="s">
        <v>783</v>
      </c>
      <c r="F68" s="382">
        <f>'Order form'!D172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22</v>
      </c>
      <c r="K68" s="384">
        <f>'Order form'!G173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8</v>
      </c>
      <c r="O68" s="1189"/>
    </row>
    <row r="69" spans="1:15" s="386" customFormat="1" ht="12" customHeight="1" x14ac:dyDescent="0.25">
      <c r="A69" s="379" t="s">
        <v>153</v>
      </c>
      <c r="B69" s="380" t="s">
        <v>156</v>
      </c>
      <c r="C69" s="381">
        <f>'Order form'!K172+('Order form'!K217*2)</f>
        <v>0</v>
      </c>
      <c r="D69" s="381" t="str">
        <f>'Order form'!I171</f>
        <v>H-6ANP</v>
      </c>
      <c r="E69" s="381" t="s">
        <v>784</v>
      </c>
      <c r="F69" s="382">
        <f>'Order form'!I172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22</v>
      </c>
      <c r="K69" s="384">
        <f>'Order form'!L173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8</v>
      </c>
      <c r="O69" s="1189"/>
    </row>
    <row r="70" spans="1:15" s="386" customFormat="1" ht="12" customHeight="1" x14ac:dyDescent="0.25">
      <c r="A70" s="379" t="s">
        <v>153</v>
      </c>
      <c r="B70" s="380" t="s">
        <v>156</v>
      </c>
      <c r="C70" s="381">
        <f>'Order form'!P172+('Order form'!P217*2)</f>
        <v>0</v>
      </c>
      <c r="D70" s="381" t="str">
        <f>'Order form'!N171</f>
        <v>H-7NP</v>
      </c>
      <c r="E70" s="381" t="s">
        <v>785</v>
      </c>
      <c r="F70" s="382">
        <f>'Order form'!N172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22</v>
      </c>
      <c r="K70" s="384">
        <f>'Order form'!Q173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8</v>
      </c>
      <c r="O70" s="1189"/>
    </row>
    <row r="71" spans="1:15" s="386" customFormat="1" ht="12" customHeight="1" x14ac:dyDescent="0.25">
      <c r="A71" s="379" t="s">
        <v>153</v>
      </c>
      <c r="B71" s="380" t="s">
        <v>156</v>
      </c>
      <c r="C71" s="381">
        <f>'Order form'!U172+('Order form'!U217*2)</f>
        <v>0</v>
      </c>
      <c r="D71" s="381" t="str">
        <f>'Order form'!S171</f>
        <v>H-7ANP</v>
      </c>
      <c r="E71" s="381" t="s">
        <v>786</v>
      </c>
      <c r="F71" s="382">
        <f>'Order form'!S172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22</v>
      </c>
      <c r="K71" s="384">
        <f>'Order form'!V173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8</v>
      </c>
      <c r="O71" s="1189"/>
    </row>
    <row r="72" spans="1:15" s="386" customFormat="1" ht="12" customHeight="1" x14ac:dyDescent="0.25">
      <c r="A72" s="379" t="s">
        <v>153</v>
      </c>
      <c r="B72" s="380" t="s">
        <v>156</v>
      </c>
      <c r="C72" s="381">
        <f>'Order form'!Z172+('Order form'!Z217)</f>
        <v>0</v>
      </c>
      <c r="D72" s="381" t="str">
        <f>'Order form'!X171</f>
        <v>H-8NP</v>
      </c>
      <c r="E72" s="381" t="s">
        <v>787</v>
      </c>
      <c r="F72" s="382">
        <f>'Order form'!X172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22</v>
      </c>
      <c r="K72" s="384">
        <f>'Order form'!AA173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8</v>
      </c>
      <c r="O72" s="1189"/>
    </row>
    <row r="73" spans="1:15" s="386" customFormat="1" ht="12" customHeight="1" x14ac:dyDescent="0.25">
      <c r="A73" s="379" t="s">
        <v>153</v>
      </c>
      <c r="B73" s="380" t="s">
        <v>156</v>
      </c>
      <c r="C73" s="381">
        <f>'Order form'!F182+('Order form'!Z217)+('Order form'!F228*2)</f>
        <v>0</v>
      </c>
      <c r="D73" s="381" t="str">
        <f>'Order form'!D181:G181</f>
        <v>H-9NP</v>
      </c>
      <c r="E73" s="381" t="s">
        <v>788</v>
      </c>
      <c r="F73" s="382">
        <f>'Order form'!D182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22</v>
      </c>
      <c r="K73" s="384">
        <f>'Order form'!G183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8</v>
      </c>
      <c r="O73" s="1189"/>
    </row>
    <row r="74" spans="1:15" s="386" customFormat="1" ht="12" customHeight="1" x14ac:dyDescent="0.25">
      <c r="A74" s="379" t="s">
        <v>153</v>
      </c>
      <c r="B74" s="380" t="s">
        <v>156</v>
      </c>
      <c r="C74" s="381">
        <f>'Order form'!K182+('Order form'!K228*2)</f>
        <v>0</v>
      </c>
      <c r="D74" s="381" t="str">
        <f>'Order form'!I181</f>
        <v>H-12NP</v>
      </c>
      <c r="E74" s="381" t="s">
        <v>789</v>
      </c>
      <c r="F74" s="382">
        <f>'Order form'!I182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22</v>
      </c>
      <c r="K74" s="384">
        <f>'Order form'!L183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8</v>
      </c>
      <c r="O74" s="1189"/>
    </row>
    <row r="75" spans="1:15" s="386" customFormat="1" ht="12" customHeight="1" x14ac:dyDescent="0.25">
      <c r="A75" s="379" t="s">
        <v>153</v>
      </c>
      <c r="B75" s="380" t="s">
        <v>156</v>
      </c>
      <c r="C75" s="381">
        <f>'Order form'!P182+('Order form'!P228*2)</f>
        <v>0</v>
      </c>
      <c r="D75" s="381" t="str">
        <f>'Order form'!N181</f>
        <v>H-13NP</v>
      </c>
      <c r="E75" s="381" t="s">
        <v>790</v>
      </c>
      <c r="F75" s="382">
        <f>'Order form'!N182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22</v>
      </c>
      <c r="K75" s="384">
        <f>'Order form'!Q183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8</v>
      </c>
      <c r="O75" s="1189"/>
    </row>
    <row r="76" spans="1:15" s="386" customFormat="1" ht="12" customHeight="1" x14ac:dyDescent="0.25">
      <c r="A76" s="379" t="s">
        <v>153</v>
      </c>
      <c r="B76" s="380" t="s">
        <v>156</v>
      </c>
      <c r="C76" s="381">
        <f>'Order form'!U182+('Order form'!U228*2)</f>
        <v>0</v>
      </c>
      <c r="D76" s="381" t="str">
        <f>'Order form'!S181</f>
        <v>H-14NP</v>
      </c>
      <c r="E76" s="381" t="s">
        <v>791</v>
      </c>
      <c r="F76" s="382">
        <f>'Order form'!S182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22</v>
      </c>
      <c r="K76" s="384">
        <f>'Order form'!V183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8</v>
      </c>
      <c r="O76" s="1189"/>
    </row>
    <row r="77" spans="1:15" s="386" customFormat="1" ht="12" customHeight="1" x14ac:dyDescent="0.25">
      <c r="A77" s="379" t="s">
        <v>153</v>
      </c>
      <c r="B77" s="380" t="s">
        <v>156</v>
      </c>
      <c r="C77" s="381">
        <f>'Order form'!Z182+'Order form'!Z228</f>
        <v>0</v>
      </c>
      <c r="D77" s="381" t="str">
        <f>'Order form'!X181</f>
        <v>H-15NP</v>
      </c>
      <c r="E77" s="381" t="s">
        <v>792</v>
      </c>
      <c r="F77" s="382">
        <f>'Order form'!X182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22</v>
      </c>
      <c r="K77" s="384">
        <f>'Order form'!AA183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8</v>
      </c>
      <c r="O77" s="1189"/>
    </row>
    <row r="78" spans="1:15" s="386" customFormat="1" ht="12" customHeight="1" x14ac:dyDescent="0.25">
      <c r="A78" s="379" t="s">
        <v>153</v>
      </c>
      <c r="B78" s="380" t="s">
        <v>156</v>
      </c>
      <c r="C78" s="381">
        <f>'Order form'!F192+'Order form'!Z228</f>
        <v>0</v>
      </c>
      <c r="D78" s="381" t="str">
        <f>'Order form'!D191:G191</f>
        <v>H-16NP</v>
      </c>
      <c r="E78" s="381" t="s">
        <v>793</v>
      </c>
      <c r="F78" s="382">
        <f>'Order form'!D192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22</v>
      </c>
      <c r="K78" s="384">
        <f>'Order form'!G193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8</v>
      </c>
      <c r="O78" s="1189"/>
    </row>
    <row r="79" spans="1:15" s="386" customFormat="1" ht="12" customHeight="1" x14ac:dyDescent="0.25">
      <c r="A79" s="379" t="s">
        <v>153</v>
      </c>
      <c r="B79" s="380" t="s">
        <v>156</v>
      </c>
      <c r="C79" s="381">
        <f>'Order form'!K192+'Order form'!F239</f>
        <v>0</v>
      </c>
      <c r="D79" s="381" t="str">
        <f>'Order form'!I191</f>
        <v>H-17NP</v>
      </c>
      <c r="E79" s="381" t="s">
        <v>794</v>
      </c>
      <c r="F79" s="382">
        <f>'Order form'!I192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22</v>
      </c>
      <c r="K79" s="384">
        <f>'Order form'!L193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8</v>
      </c>
      <c r="O79" s="1189"/>
    </row>
    <row r="80" spans="1:15" s="386" customFormat="1" ht="12" customHeight="1" x14ac:dyDescent="0.25">
      <c r="A80" s="379" t="s">
        <v>153</v>
      </c>
      <c r="B80" s="380" t="s">
        <v>156</v>
      </c>
      <c r="C80" s="381">
        <f>'Order form'!P192+'Order form'!F239</f>
        <v>0</v>
      </c>
      <c r="D80" s="381" t="str">
        <f>'Order form'!N191</f>
        <v>H-18NP</v>
      </c>
      <c r="E80" s="381" t="s">
        <v>795</v>
      </c>
      <c r="F80" s="382">
        <f>'Order form'!N192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22</v>
      </c>
      <c r="K80" s="384">
        <f>'Order form'!Q193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8</v>
      </c>
      <c r="O80" s="1189"/>
    </row>
    <row r="81" spans="1:15" s="386" customFormat="1" ht="12" customHeight="1" x14ac:dyDescent="0.25">
      <c r="A81" s="379" t="s">
        <v>153</v>
      </c>
      <c r="B81" s="380" t="s">
        <v>156</v>
      </c>
      <c r="C81" s="381">
        <f>'Order form'!U192+('Order form'!K239*2)</f>
        <v>0</v>
      </c>
      <c r="D81" s="381" t="str">
        <f>'Order form'!S191</f>
        <v>H-19NP</v>
      </c>
      <c r="E81" s="381" t="s">
        <v>796</v>
      </c>
      <c r="F81" s="382">
        <f>'Order form'!S192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22</v>
      </c>
      <c r="K81" s="384">
        <f>'Order form'!V193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8</v>
      </c>
      <c r="O81" s="1190"/>
    </row>
    <row r="82" spans="1:15" s="386" customFormat="1" ht="12" customHeight="1" x14ac:dyDescent="0.25">
      <c r="A82" s="379" t="s">
        <v>153</v>
      </c>
      <c r="B82" s="380" t="s">
        <v>156</v>
      </c>
      <c r="C82" s="381">
        <f>'Order form'!Z192+('Order form'!P239*2)</f>
        <v>0</v>
      </c>
      <c r="D82" s="381" t="str">
        <f>'Order form'!X191</f>
        <v>H-90NP</v>
      </c>
      <c r="E82" s="381" t="s">
        <v>797</v>
      </c>
      <c r="F82" s="382">
        <f>'Order form'!X192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22</v>
      </c>
      <c r="K82" s="384">
        <f>'Order form'!AA193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8</v>
      </c>
      <c r="O82" s="400">
        <f>SUM(G63:G82)</f>
        <v>0</v>
      </c>
    </row>
    <row r="83" spans="1:15" s="684" customFormat="1" ht="12" customHeight="1" x14ac:dyDescent="0.25">
      <c r="A83" s="681" t="s">
        <v>153</v>
      </c>
      <c r="B83" s="682"/>
      <c r="C83" s="680"/>
      <c r="D83" s="680" t="str">
        <f>'Order form'!D203</f>
        <v>HJ-1NP</v>
      </c>
      <c r="E83" s="680" t="s">
        <v>798</v>
      </c>
      <c r="F83" s="217">
        <f>'Order form'!D206</f>
        <v>1.62</v>
      </c>
      <c r="G83" s="217">
        <f t="shared" si="10"/>
        <v>0</v>
      </c>
      <c r="H83" s="218">
        <v>0.31460000000000005</v>
      </c>
      <c r="I83" s="219"/>
      <c r="J83" s="219" t="s">
        <v>380</v>
      </c>
      <c r="K83" s="219"/>
      <c r="L83" s="219"/>
      <c r="M83" s="683"/>
      <c r="N83" s="680">
        <f t="shared" si="9"/>
        <v>8</v>
      </c>
      <c r="O83" s="1186"/>
    </row>
    <row r="84" spans="1:15" s="684" customFormat="1" ht="12" customHeight="1" x14ac:dyDescent="0.25">
      <c r="A84" s="681" t="s">
        <v>153</v>
      </c>
      <c r="B84" s="682"/>
      <c r="C84" s="680"/>
      <c r="D84" s="680" t="str">
        <f>'Order form'!I203</f>
        <v>HJ-2NP</v>
      </c>
      <c r="E84" s="680" t="s">
        <v>799</v>
      </c>
      <c r="F84" s="217">
        <f>'Order form'!I206</f>
        <v>2.71</v>
      </c>
      <c r="G84" s="217">
        <f t="shared" si="10"/>
        <v>0</v>
      </c>
      <c r="H84" s="218">
        <v>0.51039999999999996</v>
      </c>
      <c r="I84" s="219"/>
      <c r="J84" s="219" t="s">
        <v>380</v>
      </c>
      <c r="K84" s="219"/>
      <c r="L84" s="219"/>
      <c r="M84" s="683"/>
      <c r="N84" s="680">
        <f t="shared" si="9"/>
        <v>8</v>
      </c>
      <c r="O84" s="1187"/>
    </row>
    <row r="85" spans="1:15" s="684" customFormat="1" ht="12" customHeight="1" x14ac:dyDescent="0.25">
      <c r="A85" s="681" t="s">
        <v>153</v>
      </c>
      <c r="B85" s="682"/>
      <c r="C85" s="680"/>
      <c r="D85" s="680" t="str">
        <f>'Order form'!N203</f>
        <v>HJ-3NP</v>
      </c>
      <c r="E85" s="680" t="s">
        <v>800</v>
      </c>
      <c r="F85" s="217">
        <f>'Order form'!N206</f>
        <v>3.91</v>
      </c>
      <c r="G85" s="217">
        <f t="shared" si="10"/>
        <v>0</v>
      </c>
      <c r="H85" s="218">
        <v>0.70620000000000005</v>
      </c>
      <c r="I85" s="219"/>
      <c r="J85" s="219" t="s">
        <v>380</v>
      </c>
      <c r="K85" s="219"/>
      <c r="L85" s="219"/>
      <c r="M85" s="683"/>
      <c r="N85" s="680">
        <f t="shared" si="9"/>
        <v>8</v>
      </c>
      <c r="O85" s="1187"/>
    </row>
    <row r="86" spans="1:15" s="684" customFormat="1" ht="12" customHeight="1" x14ac:dyDescent="0.25">
      <c r="A86" s="681" t="s">
        <v>153</v>
      </c>
      <c r="B86" s="682"/>
      <c r="C86" s="680"/>
      <c r="D86" s="680" t="str">
        <f>'Order form'!S203</f>
        <v>HJ-4NP</v>
      </c>
      <c r="E86" s="680" t="s">
        <v>801</v>
      </c>
      <c r="F86" s="217">
        <f>'Order form'!S206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380</v>
      </c>
      <c r="K86" s="219"/>
      <c r="L86" s="219"/>
      <c r="M86" s="683"/>
      <c r="N86" s="680">
        <f t="shared" si="9"/>
        <v>8</v>
      </c>
      <c r="O86" s="1187"/>
    </row>
    <row r="87" spans="1:15" s="684" customFormat="1" ht="12" customHeight="1" x14ac:dyDescent="0.25">
      <c r="A87" s="681" t="s">
        <v>153</v>
      </c>
      <c r="B87" s="682"/>
      <c r="C87" s="680"/>
      <c r="D87" s="680" t="str">
        <f>'Order form'!X203</f>
        <v>HJ-5NP</v>
      </c>
      <c r="E87" s="680" t="s">
        <v>802</v>
      </c>
      <c r="F87" s="217">
        <f>'Order form'!X206</f>
        <v>5.32</v>
      </c>
      <c r="G87" s="217">
        <f t="shared" si="10"/>
        <v>0</v>
      </c>
      <c r="H87" s="218">
        <v>0.90640000000000009</v>
      </c>
      <c r="I87" s="219"/>
      <c r="J87" s="219" t="s">
        <v>380</v>
      </c>
      <c r="K87" s="219"/>
      <c r="L87" s="219"/>
      <c r="M87" s="683"/>
      <c r="N87" s="680">
        <f t="shared" si="9"/>
        <v>8</v>
      </c>
      <c r="O87" s="1187"/>
    </row>
    <row r="88" spans="1:15" s="684" customFormat="1" ht="12" customHeight="1" x14ac:dyDescent="0.25">
      <c r="A88" s="681" t="s">
        <v>153</v>
      </c>
      <c r="B88" s="682"/>
      <c r="C88" s="680"/>
      <c r="D88" s="680" t="str">
        <f>'Order form'!D214</f>
        <v>HJ-6NP</v>
      </c>
      <c r="E88" s="680" t="s">
        <v>803</v>
      </c>
      <c r="F88" s="217">
        <f>'Order form'!D217</f>
        <v>3.16</v>
      </c>
      <c r="G88" s="217">
        <f t="shared" si="10"/>
        <v>0</v>
      </c>
      <c r="H88" s="218">
        <v>0.49719999999999998</v>
      </c>
      <c r="I88" s="219"/>
      <c r="J88" s="219" t="s">
        <v>380</v>
      </c>
      <c r="K88" s="219"/>
      <c r="L88" s="219"/>
      <c r="M88" s="683"/>
      <c r="N88" s="680">
        <f t="shared" si="9"/>
        <v>8</v>
      </c>
      <c r="O88" s="1187"/>
    </row>
    <row r="89" spans="1:15" s="684" customFormat="1" ht="12" customHeight="1" x14ac:dyDescent="0.25">
      <c r="A89" s="681" t="s">
        <v>153</v>
      </c>
      <c r="B89" s="682"/>
      <c r="C89" s="680"/>
      <c r="D89" s="680" t="str">
        <f>'Order form'!I214</f>
        <v>HJ-6ANP</v>
      </c>
      <c r="E89" s="680" t="s">
        <v>804</v>
      </c>
      <c r="F89" s="217">
        <f>'Order form'!I217</f>
        <v>3.84</v>
      </c>
      <c r="G89" s="217">
        <f t="shared" si="10"/>
        <v>0</v>
      </c>
      <c r="H89" s="218">
        <v>0.60940000000000005</v>
      </c>
      <c r="I89" s="219"/>
      <c r="J89" s="219" t="s">
        <v>380</v>
      </c>
      <c r="K89" s="219"/>
      <c r="L89" s="219"/>
      <c r="M89" s="683"/>
      <c r="N89" s="680">
        <f t="shared" si="9"/>
        <v>8</v>
      </c>
      <c r="O89" s="1187"/>
    </row>
    <row r="90" spans="1:15" s="684" customFormat="1" ht="12" customHeight="1" x14ac:dyDescent="0.25">
      <c r="A90" s="681" t="s">
        <v>153</v>
      </c>
      <c r="B90" s="682"/>
      <c r="C90" s="680"/>
      <c r="D90" s="680" t="str">
        <f>'Order form'!N214</f>
        <v>HJ-7NP</v>
      </c>
      <c r="E90" s="680" t="s">
        <v>805</v>
      </c>
      <c r="F90" s="217">
        <f>'Order form'!N217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380</v>
      </c>
      <c r="K90" s="219"/>
      <c r="L90" s="219"/>
      <c r="M90" s="683"/>
      <c r="N90" s="680">
        <f t="shared" si="9"/>
        <v>8</v>
      </c>
      <c r="O90" s="1187"/>
    </row>
    <row r="91" spans="1:15" s="684" customFormat="1" ht="12" customHeight="1" x14ac:dyDescent="0.25">
      <c r="A91" s="681" t="s">
        <v>153</v>
      </c>
      <c r="B91" s="682"/>
      <c r="C91" s="680"/>
      <c r="D91" s="680" t="str">
        <f>'Order form'!S214</f>
        <v>HJ-7ANP</v>
      </c>
      <c r="E91" s="680" t="s">
        <v>806</v>
      </c>
      <c r="F91" s="217">
        <f>'Order form'!S217</f>
        <v>2</v>
      </c>
      <c r="G91" s="217">
        <f t="shared" si="10"/>
        <v>0</v>
      </c>
      <c r="H91" s="218">
        <v>0.1958</v>
      </c>
      <c r="I91" s="219"/>
      <c r="J91" s="219" t="s">
        <v>380</v>
      </c>
      <c r="K91" s="219"/>
      <c r="L91" s="219"/>
      <c r="M91" s="683"/>
      <c r="N91" s="680">
        <f t="shared" si="9"/>
        <v>8</v>
      </c>
      <c r="O91" s="1187"/>
    </row>
    <row r="92" spans="1:15" s="684" customFormat="1" ht="12" customHeight="1" x14ac:dyDescent="0.25">
      <c r="A92" s="681" t="s">
        <v>153</v>
      </c>
      <c r="B92" s="682"/>
      <c r="C92" s="680"/>
      <c r="D92" s="680" t="str">
        <f>'Order form'!X214</f>
        <v>HJ-8NP</v>
      </c>
      <c r="E92" s="680" t="s">
        <v>807</v>
      </c>
      <c r="F92" s="217">
        <f>'Order form'!X217</f>
        <v>2.08</v>
      </c>
      <c r="G92" s="217">
        <f t="shared" si="10"/>
        <v>0</v>
      </c>
      <c r="H92" s="218">
        <v>0.30360000000000004</v>
      </c>
      <c r="I92" s="219"/>
      <c r="J92" s="219" t="s">
        <v>380</v>
      </c>
      <c r="K92" s="219"/>
      <c r="L92" s="219"/>
      <c r="M92" s="683"/>
      <c r="N92" s="680">
        <f t="shared" si="9"/>
        <v>8</v>
      </c>
      <c r="O92" s="1187"/>
    </row>
    <row r="93" spans="1:15" s="684" customFormat="1" ht="12" customHeight="1" x14ac:dyDescent="0.25">
      <c r="A93" s="681" t="s">
        <v>153</v>
      </c>
      <c r="B93" s="682"/>
      <c r="C93" s="680"/>
      <c r="D93" s="680" t="str">
        <f>'Order form'!D225</f>
        <v>HJ-9NP</v>
      </c>
      <c r="E93" s="680" t="s">
        <v>808</v>
      </c>
      <c r="F93" s="217">
        <f>'Order form'!D228</f>
        <v>2.08</v>
      </c>
      <c r="G93" s="217">
        <f t="shared" si="10"/>
        <v>0</v>
      </c>
      <c r="H93" s="218">
        <v>0.29260000000000003</v>
      </c>
      <c r="I93" s="219"/>
      <c r="J93" s="219" t="s">
        <v>380</v>
      </c>
      <c r="K93" s="219"/>
      <c r="L93" s="219"/>
      <c r="M93" s="683"/>
      <c r="N93" s="680">
        <f t="shared" si="9"/>
        <v>8</v>
      </c>
      <c r="O93" s="1187"/>
    </row>
    <row r="94" spans="1:15" s="684" customFormat="1" ht="12" customHeight="1" x14ac:dyDescent="0.25">
      <c r="A94" s="681" t="s">
        <v>153</v>
      </c>
      <c r="B94" s="682"/>
      <c r="C94" s="680"/>
      <c r="D94" s="680" t="str">
        <f>'Order form'!I225</f>
        <v>HJ-12NP</v>
      </c>
      <c r="E94" s="680" t="s">
        <v>809</v>
      </c>
      <c r="F94" s="217">
        <f>'Order form'!I228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380</v>
      </c>
      <c r="K94" s="219"/>
      <c r="L94" s="219"/>
      <c r="M94" s="683"/>
      <c r="N94" s="680">
        <f t="shared" si="9"/>
        <v>8</v>
      </c>
      <c r="O94" s="1187"/>
    </row>
    <row r="95" spans="1:15" s="684" customFormat="1" ht="12" customHeight="1" x14ac:dyDescent="0.25">
      <c r="A95" s="681" t="s">
        <v>153</v>
      </c>
      <c r="B95" s="682"/>
      <c r="C95" s="680"/>
      <c r="D95" s="680" t="str">
        <f>'Order form'!N225</f>
        <v>HJ-13NP</v>
      </c>
      <c r="E95" s="680" t="s">
        <v>810</v>
      </c>
      <c r="F95" s="217">
        <f>'Order form'!N228</f>
        <v>1.8800000000000001</v>
      </c>
      <c r="G95" s="217">
        <f t="shared" si="10"/>
        <v>0</v>
      </c>
      <c r="H95" s="218">
        <v>0.253</v>
      </c>
      <c r="I95" s="219"/>
      <c r="J95" s="219" t="s">
        <v>380</v>
      </c>
      <c r="K95" s="219"/>
      <c r="L95" s="219"/>
      <c r="M95" s="683"/>
      <c r="N95" s="680">
        <f t="shared" si="9"/>
        <v>8</v>
      </c>
      <c r="O95" s="1188"/>
    </row>
    <row r="96" spans="1:15" s="684" customFormat="1" ht="12" customHeight="1" x14ac:dyDescent="0.25">
      <c r="A96" s="681" t="s">
        <v>153</v>
      </c>
      <c r="B96" s="682"/>
      <c r="C96" s="680"/>
      <c r="D96" s="680" t="str">
        <f>'Order form'!S225</f>
        <v>HJ-14NP</v>
      </c>
      <c r="E96" s="680" t="s">
        <v>811</v>
      </c>
      <c r="F96" s="217">
        <f>'Order form'!S228</f>
        <v>5.42</v>
      </c>
      <c r="G96" s="217">
        <f t="shared" si="10"/>
        <v>0</v>
      </c>
      <c r="H96" s="218">
        <v>0.84480000000000011</v>
      </c>
      <c r="I96" s="219"/>
      <c r="J96" s="219" t="s">
        <v>380</v>
      </c>
      <c r="K96" s="219"/>
      <c r="L96" s="219"/>
      <c r="M96" s="683"/>
      <c r="N96" s="680">
        <f t="shared" si="9"/>
        <v>8</v>
      </c>
      <c r="O96" s="688"/>
    </row>
    <row r="97" spans="1:15" s="684" customFormat="1" ht="12" customHeight="1" x14ac:dyDescent="0.25">
      <c r="A97" s="681" t="s">
        <v>153</v>
      </c>
      <c r="B97" s="682"/>
      <c r="C97" s="680"/>
      <c r="D97" s="680" t="str">
        <f>'Order form'!X225</f>
        <v>HJ-15NP</v>
      </c>
      <c r="E97" s="680" t="s">
        <v>812</v>
      </c>
      <c r="F97" s="217">
        <f>'Order form'!X228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380</v>
      </c>
      <c r="K97" s="219"/>
      <c r="L97" s="219"/>
      <c r="M97" s="683"/>
      <c r="N97" s="680">
        <f t="shared" si="9"/>
        <v>8</v>
      </c>
      <c r="O97" s="688"/>
    </row>
    <row r="98" spans="1:15" s="684" customFormat="1" ht="12" customHeight="1" x14ac:dyDescent="0.25">
      <c r="A98" s="681" t="s">
        <v>153</v>
      </c>
      <c r="B98" s="682"/>
      <c r="C98" s="680"/>
      <c r="D98" s="680" t="str">
        <f>'Order form'!D236</f>
        <v>HJ-17NP</v>
      </c>
      <c r="E98" s="680" t="s">
        <v>813</v>
      </c>
      <c r="F98" s="217">
        <f>'Order form'!D239</f>
        <v>2.02</v>
      </c>
      <c r="G98" s="217">
        <f t="shared" si="10"/>
        <v>0</v>
      </c>
      <c r="H98" s="218">
        <v>0.32340000000000008</v>
      </c>
      <c r="I98" s="219"/>
      <c r="J98" s="219" t="s">
        <v>380</v>
      </c>
      <c r="K98" s="219"/>
      <c r="L98" s="219"/>
      <c r="M98" s="683"/>
      <c r="N98" s="680">
        <f t="shared" si="9"/>
        <v>8</v>
      </c>
      <c r="O98" s="688"/>
    </row>
    <row r="99" spans="1:15" s="684" customFormat="1" ht="12" customHeight="1" x14ac:dyDescent="0.25">
      <c r="A99" s="681" t="s">
        <v>153</v>
      </c>
      <c r="B99" s="682"/>
      <c r="C99" s="680"/>
      <c r="D99" s="680" t="str">
        <f>'Order form'!I236</f>
        <v>HJ-19NP</v>
      </c>
      <c r="E99" s="680" t="s">
        <v>814</v>
      </c>
      <c r="F99" s="217">
        <f>'Order form'!I239</f>
        <v>2.78</v>
      </c>
      <c r="G99" s="217">
        <f t="shared" si="10"/>
        <v>0</v>
      </c>
      <c r="H99" s="218">
        <v>0.31900000000000006</v>
      </c>
      <c r="I99" s="219"/>
      <c r="J99" s="219" t="s">
        <v>380</v>
      </c>
      <c r="K99" s="219"/>
      <c r="L99" s="219"/>
      <c r="M99" s="683"/>
      <c r="N99" s="680">
        <f t="shared" si="9"/>
        <v>8</v>
      </c>
      <c r="O99" s="688"/>
    </row>
    <row r="100" spans="1:15" s="684" customFormat="1" ht="12" customHeight="1" x14ac:dyDescent="0.25">
      <c r="A100" s="681" t="s">
        <v>153</v>
      </c>
      <c r="B100" s="682"/>
      <c r="C100" s="680"/>
      <c r="D100" s="680" t="str">
        <f>'Order form'!N236</f>
        <v>HJ-90NP</v>
      </c>
      <c r="E100" s="680" t="s">
        <v>815</v>
      </c>
      <c r="F100" s="217">
        <f>'Order form'!N239</f>
        <v>2.8000000000000003</v>
      </c>
      <c r="G100" s="217">
        <f t="shared" si="10"/>
        <v>0</v>
      </c>
      <c r="H100" s="218">
        <v>0.4884</v>
      </c>
      <c r="I100" s="219"/>
      <c r="J100" s="219" t="s">
        <v>380</v>
      </c>
      <c r="K100" s="219"/>
      <c r="L100" s="219"/>
      <c r="M100" s="683"/>
      <c r="N100" s="680">
        <f t="shared" si="9"/>
        <v>8</v>
      </c>
      <c r="O100" s="688"/>
    </row>
    <row r="101" spans="1:15" s="386" customFormat="1" ht="12.6" customHeight="1" x14ac:dyDescent="0.25">
      <c r="A101" s="379" t="s">
        <v>153</v>
      </c>
      <c r="B101" s="380" t="s">
        <v>429</v>
      </c>
      <c r="C101" s="381">
        <f>'Order form'!F251</f>
        <v>10</v>
      </c>
      <c r="D101" s="381" t="str">
        <f>'Order form'!D249</f>
        <v>AP-ICAP</v>
      </c>
      <c r="E101" s="381" t="s">
        <v>816</v>
      </c>
      <c r="F101" s="382">
        <f>'Order form'!D251</f>
        <v>0.13</v>
      </c>
      <c r="G101" s="382">
        <f t="shared" si="10"/>
        <v>1.3</v>
      </c>
      <c r="H101" s="383">
        <v>6.6E-3</v>
      </c>
      <c r="I101" s="384">
        <f t="shared" si="4"/>
        <v>6.6000000000000003E-2</v>
      </c>
      <c r="J101" s="384" t="s">
        <v>22</v>
      </c>
      <c r="K101" s="384">
        <f>'Order form'!G252</f>
        <v>400</v>
      </c>
      <c r="L101" s="384">
        <f t="shared" ref="L101:L132" si="11">C101/K101</f>
        <v>2.5000000000000001E-2</v>
      </c>
      <c r="M101" s="385">
        <f t="shared" ref="M101:M132" si="12">K101*H101</f>
        <v>2.64</v>
      </c>
      <c r="N101" s="381">
        <f t="shared" si="9"/>
        <v>9</v>
      </c>
      <c r="O101" s="1191">
        <f>SUM(G101:G139)</f>
        <v>11.34</v>
      </c>
    </row>
    <row r="102" spans="1:15" s="386" customFormat="1" ht="12.6" customHeight="1" x14ac:dyDescent="0.25">
      <c r="A102" s="379" t="s">
        <v>153</v>
      </c>
      <c r="B102" s="380" t="s">
        <v>429</v>
      </c>
      <c r="C102" s="381">
        <f>'Order form'!K251</f>
        <v>0</v>
      </c>
      <c r="D102" s="381" t="str">
        <f>'Order form'!I249</f>
        <v>AP-ICAP2</v>
      </c>
      <c r="E102" s="381" t="s">
        <v>817</v>
      </c>
      <c r="F102" s="382">
        <f>'Order form'!I251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22</v>
      </c>
      <c r="K102" s="384">
        <f>'Order form'!L252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9</v>
      </c>
      <c r="O102" s="1192"/>
    </row>
    <row r="103" spans="1:15" s="386" customFormat="1" ht="12.6" customHeight="1" x14ac:dyDescent="0.25">
      <c r="A103" s="379" t="s">
        <v>153</v>
      </c>
      <c r="B103" s="380" t="s">
        <v>158</v>
      </c>
      <c r="C103" s="381">
        <f>'Order form'!P251</f>
        <v>0</v>
      </c>
      <c r="D103" s="381" t="str">
        <f>'Order form'!N249</f>
        <v>AP-CNNCT</v>
      </c>
      <c r="E103" s="381" t="s">
        <v>818</v>
      </c>
      <c r="F103" s="382">
        <f>'Order form'!N251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22</v>
      </c>
      <c r="K103" s="384">
        <f>'Order form'!V252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9</v>
      </c>
      <c r="O103" s="1192"/>
    </row>
    <row r="104" spans="1:15" s="386" customFormat="1" ht="12.6" customHeight="1" x14ac:dyDescent="0.25">
      <c r="A104" s="379" t="s">
        <v>153</v>
      </c>
      <c r="B104" s="380" t="s">
        <v>158</v>
      </c>
      <c r="C104" s="381">
        <f>'Order form'!U251</f>
        <v>0</v>
      </c>
      <c r="D104" s="381" t="str">
        <f>'Order form'!S249</f>
        <v>AP-CNNCT2</v>
      </c>
      <c r="E104" s="381" t="s">
        <v>819</v>
      </c>
      <c r="F104" s="382">
        <f>'Order form'!S251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22</v>
      </c>
      <c r="K104" s="384">
        <f>'Order form'!Q252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9</v>
      </c>
      <c r="O104" s="1192"/>
    </row>
    <row r="105" spans="1:15" s="386" customFormat="1" ht="12.6" customHeight="1" x14ac:dyDescent="0.25">
      <c r="A105" s="379" t="s">
        <v>153</v>
      </c>
      <c r="B105" s="380" t="s">
        <v>429</v>
      </c>
      <c r="C105" s="381">
        <f>'Order form'!Z251+('Order form'!K140*1)+('Order form'!K151*2)+('Order form'!P217*1)+('Order form'!K228*2)</f>
        <v>0</v>
      </c>
      <c r="D105" s="381" t="str">
        <f>'Order form'!X249</f>
        <v>AP-HINGE</v>
      </c>
      <c r="E105" s="381" t="s">
        <v>820</v>
      </c>
      <c r="F105" s="382">
        <f>'Order form'!X251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22</v>
      </c>
      <c r="K105" s="384">
        <f>'Order form'!AA252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9</v>
      </c>
      <c r="O105" s="1192"/>
    </row>
    <row r="106" spans="1:15" s="386" customFormat="1" ht="12.6" customHeight="1" x14ac:dyDescent="0.25">
      <c r="A106" s="379" t="s">
        <v>153</v>
      </c>
      <c r="B106" s="380" t="s">
        <v>158</v>
      </c>
      <c r="C106" s="381">
        <f>'Order form'!F262</f>
        <v>4</v>
      </c>
      <c r="D106" s="381" t="str">
        <f>'Order form'!D260</f>
        <v>AF-ILEV</v>
      </c>
      <c r="E106" s="381" t="s">
        <v>821</v>
      </c>
      <c r="F106" s="382">
        <f>'Order form'!D262</f>
        <v>2.25</v>
      </c>
      <c r="G106" s="382">
        <f t="shared" si="10"/>
        <v>9</v>
      </c>
      <c r="H106" s="383">
        <v>0.32119999999999999</v>
      </c>
      <c r="I106" s="384">
        <f t="shared" si="4"/>
        <v>1.2847999999999999</v>
      </c>
      <c r="J106" s="384" t="s">
        <v>22</v>
      </c>
      <c r="K106" s="384">
        <f>'Order form'!G263</f>
        <v>100</v>
      </c>
      <c r="L106" s="384">
        <f t="shared" si="11"/>
        <v>0.04</v>
      </c>
      <c r="M106" s="385">
        <f t="shared" si="12"/>
        <v>32.119999999999997</v>
      </c>
      <c r="N106" s="381">
        <f t="shared" si="9"/>
        <v>10</v>
      </c>
      <c r="O106" s="1192"/>
    </row>
    <row r="107" spans="1:15" s="386" customFormat="1" ht="12.6" customHeight="1" x14ac:dyDescent="0.25">
      <c r="A107" s="379" t="s">
        <v>153</v>
      </c>
      <c r="B107" s="380" t="s">
        <v>158</v>
      </c>
      <c r="C107" s="381">
        <f>'Order form'!K262</f>
        <v>0</v>
      </c>
      <c r="D107" s="381" t="str">
        <f>'Order form'!I260</f>
        <v>AF-OLEV</v>
      </c>
      <c r="E107" s="381" t="s">
        <v>822</v>
      </c>
      <c r="F107" s="382">
        <f>'Order form'!I262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22</v>
      </c>
      <c r="K107" s="384">
        <f>'Order form'!L263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10</v>
      </c>
      <c r="O107" s="1192"/>
    </row>
    <row r="108" spans="1:15" s="386" customFormat="1" ht="12.6" customHeight="1" x14ac:dyDescent="0.25">
      <c r="A108" s="379" t="s">
        <v>153</v>
      </c>
      <c r="B108" s="380" t="s">
        <v>429</v>
      </c>
      <c r="C108" s="381">
        <f>'Order form'!P262</f>
        <v>0</v>
      </c>
      <c r="D108" s="381" t="str">
        <f>'Order form'!N260</f>
        <v>AF-RUB</v>
      </c>
      <c r="E108" s="381" t="s">
        <v>823</v>
      </c>
      <c r="F108" s="382">
        <f>'Order form'!N262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22</v>
      </c>
      <c r="K108" s="384">
        <f>'Order form'!Q263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10</v>
      </c>
      <c r="O108" s="1192"/>
    </row>
    <row r="109" spans="1:15" s="386" customFormat="1" ht="12.6" customHeight="1" x14ac:dyDescent="0.25">
      <c r="A109" s="379" t="s">
        <v>153</v>
      </c>
      <c r="B109" s="380" t="s">
        <v>158</v>
      </c>
      <c r="C109" s="381">
        <f>'Order form'!U262</f>
        <v>0</v>
      </c>
      <c r="D109" s="381" t="str">
        <f>'Order form'!S260</f>
        <v>AF-OSM</v>
      </c>
      <c r="E109" s="381" t="s">
        <v>824</v>
      </c>
      <c r="F109" s="382">
        <f>'Order form'!S262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22</v>
      </c>
      <c r="K109" s="384">
        <f>'Order form'!V263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10</v>
      </c>
      <c r="O109" s="1192"/>
    </row>
    <row r="110" spans="1:15" s="386" customFormat="1" ht="12.6" customHeight="1" x14ac:dyDescent="0.25">
      <c r="A110" s="379" t="s">
        <v>153</v>
      </c>
      <c r="B110" s="380" t="s">
        <v>158</v>
      </c>
      <c r="C110" s="381">
        <f>'Order form'!Z262</f>
        <v>0</v>
      </c>
      <c r="D110" s="381" t="str">
        <f>'Order form'!X260</f>
        <v>AF-STACK</v>
      </c>
      <c r="E110" s="381" t="s">
        <v>825</v>
      </c>
      <c r="F110" s="382">
        <f>'Order form'!X262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22</v>
      </c>
      <c r="K110" s="384">
        <f>'Order form'!AA263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10</v>
      </c>
      <c r="O110" s="1192"/>
    </row>
    <row r="111" spans="1:15" s="386" customFormat="1" ht="12.6" customHeight="1" x14ac:dyDescent="0.25">
      <c r="A111" s="379" t="s">
        <v>153</v>
      </c>
      <c r="B111" s="380" t="s">
        <v>429</v>
      </c>
      <c r="C111" s="381">
        <f>'Order form'!F273</f>
        <v>8</v>
      </c>
      <c r="D111" s="381" t="str">
        <f>'Order form'!D271</f>
        <v>AO-SHIM</v>
      </c>
      <c r="E111" s="381" t="s">
        <v>826</v>
      </c>
      <c r="F111" s="382">
        <f>'Order form'!D273</f>
        <v>0.13</v>
      </c>
      <c r="G111" s="382">
        <f t="shared" ref="G111:G119" si="13">F111*C111</f>
        <v>1.04</v>
      </c>
      <c r="H111" s="383">
        <v>1.0999999999999999E-2</v>
      </c>
      <c r="I111" s="384">
        <f t="shared" ref="I111:I119" si="14">C111*H111</f>
        <v>8.7999999999999995E-2</v>
      </c>
      <c r="J111" s="384" t="s">
        <v>22</v>
      </c>
      <c r="K111" s="384">
        <f>'Order form'!G274</f>
        <v>300</v>
      </c>
      <c r="L111" s="384">
        <f t="shared" si="11"/>
        <v>2.6666666666666668E-2</v>
      </c>
      <c r="M111" s="385">
        <f t="shared" si="12"/>
        <v>3.3</v>
      </c>
      <c r="N111" s="381">
        <f t="shared" si="9"/>
        <v>11</v>
      </c>
      <c r="O111" s="1192"/>
    </row>
    <row r="112" spans="1:15" s="386" customFormat="1" ht="12.6" customHeight="1" x14ac:dyDescent="0.25">
      <c r="A112" s="379" t="s">
        <v>153</v>
      </c>
      <c r="B112" s="380" t="s">
        <v>429</v>
      </c>
      <c r="C112" s="381">
        <f>'Order form'!K273</f>
        <v>0</v>
      </c>
      <c r="D112" s="381" t="str">
        <f>'Order form'!I271</f>
        <v>AO-CLIP</v>
      </c>
      <c r="E112" s="381" t="s">
        <v>827</v>
      </c>
      <c r="F112" s="382">
        <f>'Order form'!I273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22</v>
      </c>
      <c r="K112" s="384">
        <f>'Order form'!L274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11</v>
      </c>
      <c r="O112" s="1192"/>
    </row>
    <row r="113" spans="1:15" s="386" customFormat="1" ht="12.6" customHeight="1" x14ac:dyDescent="0.25">
      <c r="A113" s="379" t="s">
        <v>153</v>
      </c>
      <c r="B113" s="380" t="s">
        <v>158</v>
      </c>
      <c r="C113" s="381">
        <f>'Order form'!P273</f>
        <v>0</v>
      </c>
      <c r="D113" s="381" t="str">
        <f>'Order form'!N271</f>
        <v>AO-EMT1</v>
      </c>
      <c r="E113" s="381" t="s">
        <v>829</v>
      </c>
      <c r="F113" s="382">
        <f>'Order form'!N273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22</v>
      </c>
      <c r="K113" s="384">
        <f>'Order form'!Q274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11</v>
      </c>
      <c r="O113" s="1192"/>
    </row>
    <row r="114" spans="1:15" s="386" customFormat="1" ht="12.6" customHeight="1" x14ac:dyDescent="0.25">
      <c r="A114" s="379" t="s">
        <v>153</v>
      </c>
      <c r="B114" s="380" t="s">
        <v>158</v>
      </c>
      <c r="C114" s="381">
        <f>'Order form'!U273</f>
        <v>0</v>
      </c>
      <c r="D114" s="381" t="str">
        <f>'Order form'!S271</f>
        <v>AO-EMT2</v>
      </c>
      <c r="E114" s="381" t="s">
        <v>830</v>
      </c>
      <c r="F114" s="382">
        <f>'Order form'!S273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22</v>
      </c>
      <c r="K114" s="384">
        <f>'Order form'!V274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11</v>
      </c>
      <c r="O114" s="1192"/>
    </row>
    <row r="115" spans="1:15" s="386" customFormat="1" ht="12.6" customHeight="1" x14ac:dyDescent="0.25">
      <c r="A115" s="379" t="s">
        <v>153</v>
      </c>
      <c r="B115" s="380" t="s">
        <v>158</v>
      </c>
      <c r="C115" s="381">
        <f>'Order form'!F284</f>
        <v>0</v>
      </c>
      <c r="D115" s="381" t="str">
        <f>'Order form'!D282</f>
        <v>AI-CORNER</v>
      </c>
      <c r="E115" s="381" t="s">
        <v>831</v>
      </c>
      <c r="F115" s="382">
        <f>'Order form'!D284</f>
        <v>0.9</v>
      </c>
      <c r="G115" s="382">
        <f t="shared" si="13"/>
        <v>0</v>
      </c>
      <c r="H115" s="383">
        <v>0.15840000000000001</v>
      </c>
      <c r="I115" s="384">
        <f t="shared" si="14"/>
        <v>0</v>
      </c>
      <c r="J115" s="384" t="s">
        <v>22</v>
      </c>
      <c r="K115" s="384">
        <f>'Order form'!G285</f>
        <v>60</v>
      </c>
      <c r="L115" s="384">
        <f t="shared" si="11"/>
        <v>0</v>
      </c>
      <c r="M115" s="385">
        <f t="shared" si="12"/>
        <v>9.5040000000000013</v>
      </c>
      <c r="N115" s="381">
        <f t="shared" si="9"/>
        <v>11</v>
      </c>
      <c r="O115" s="1192"/>
    </row>
    <row r="116" spans="1:15" s="386" customFormat="1" ht="12.6" customHeight="1" x14ac:dyDescent="0.25">
      <c r="A116" s="379" t="s">
        <v>153</v>
      </c>
      <c r="B116" s="380" t="s">
        <v>158</v>
      </c>
      <c r="C116" s="381">
        <f>'Order form'!K284</f>
        <v>0</v>
      </c>
      <c r="D116" s="381" t="str">
        <f>'Order form'!I282</f>
        <v>AI-SUPPORT</v>
      </c>
      <c r="E116" s="381" t="s">
        <v>839</v>
      </c>
      <c r="F116" s="382">
        <f>'Order form'!I284</f>
        <v>0.8</v>
      </c>
      <c r="G116" s="382">
        <f t="shared" si="13"/>
        <v>0</v>
      </c>
      <c r="H116" s="383">
        <v>0.154</v>
      </c>
      <c r="I116" s="384">
        <f t="shared" si="14"/>
        <v>0</v>
      </c>
      <c r="J116" s="384" t="s">
        <v>22</v>
      </c>
      <c r="K116" s="384">
        <f>'Order form'!L285</f>
        <v>100</v>
      </c>
      <c r="L116" s="384">
        <f t="shared" si="11"/>
        <v>0</v>
      </c>
      <c r="M116" s="385">
        <f t="shared" si="12"/>
        <v>15.4</v>
      </c>
      <c r="N116" s="381">
        <f t="shared" si="9"/>
        <v>11</v>
      </c>
      <c r="O116" s="1192"/>
    </row>
    <row r="117" spans="1:15" s="386" customFormat="1" ht="12.6" customHeight="1" x14ac:dyDescent="0.25">
      <c r="A117" s="379" t="s">
        <v>153</v>
      </c>
      <c r="B117" s="380" t="s">
        <v>158</v>
      </c>
      <c r="C117" s="381">
        <f>'Order form'!P284</f>
        <v>0</v>
      </c>
      <c r="D117" s="381" t="str">
        <f>'Order form'!N282</f>
        <v>AI-CENTER</v>
      </c>
      <c r="E117" s="381" t="s">
        <v>840</v>
      </c>
      <c r="F117" s="382">
        <f>'Order form'!N284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22</v>
      </c>
      <c r="K117" s="384">
        <f>'Order form'!Q285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11</v>
      </c>
      <c r="O117" s="1192"/>
    </row>
    <row r="118" spans="1:15" s="386" customFormat="1" ht="12.6" customHeight="1" x14ac:dyDescent="0.25">
      <c r="A118" s="379" t="s">
        <v>153</v>
      </c>
      <c r="B118" s="380" t="s">
        <v>429</v>
      </c>
      <c r="C118" s="381">
        <f>'Order form'!F295</f>
        <v>0</v>
      </c>
      <c r="D118" s="381" t="str">
        <f>'Order form'!D293</f>
        <v>AS-DIVIDER</v>
      </c>
      <c r="E118" s="381" t="s">
        <v>828</v>
      </c>
      <c r="F118" s="382">
        <f>'Order form'!D295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22</v>
      </c>
      <c r="K118" s="384">
        <f>'Order form'!G296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11</v>
      </c>
      <c r="O118" s="1192"/>
    </row>
    <row r="119" spans="1:15" s="386" customFormat="1" ht="12.6" customHeight="1" x14ac:dyDescent="0.25">
      <c r="A119" s="379" t="s">
        <v>153</v>
      </c>
      <c r="B119" s="380" t="s">
        <v>158</v>
      </c>
      <c r="C119" s="381">
        <f>'Order form'!K295</f>
        <v>0</v>
      </c>
      <c r="D119" s="381" t="str">
        <f>'Order form'!I293</f>
        <v>AS-SWIVEL</v>
      </c>
      <c r="E119" s="381" t="s">
        <v>832</v>
      </c>
      <c r="F119" s="382">
        <f>'Order form'!I295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22</v>
      </c>
      <c r="K119" s="384">
        <f>'Order form'!L296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11</v>
      </c>
      <c r="O119" s="1192"/>
    </row>
    <row r="120" spans="1:15" s="386" customFormat="1" ht="12.6" customHeight="1" x14ac:dyDescent="0.25">
      <c r="A120" s="379" t="s">
        <v>153</v>
      </c>
      <c r="B120" s="380" t="s">
        <v>158</v>
      </c>
      <c r="C120" s="381">
        <f>'Order form'!P295</f>
        <v>0</v>
      </c>
      <c r="D120" s="381" t="str">
        <f>'Order form'!N293</f>
        <v>AS-REST</v>
      </c>
      <c r="E120" s="381" t="s">
        <v>833</v>
      </c>
      <c r="F120" s="382">
        <f>'Order form'!N295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22</v>
      </c>
      <c r="K120" s="384">
        <f>'Order form'!Q296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11</v>
      </c>
      <c r="O120" s="1192"/>
    </row>
    <row r="121" spans="1:15" s="386" customFormat="1" ht="12.6" customHeight="1" x14ac:dyDescent="0.25">
      <c r="A121" s="379" t="s">
        <v>153</v>
      </c>
      <c r="B121" s="380" t="s">
        <v>158</v>
      </c>
      <c r="C121" s="381">
        <f>'Order form'!F306</f>
        <v>0</v>
      </c>
      <c r="D121" s="381" t="str">
        <f>'Order form'!D304</f>
        <v>AC-SKID</v>
      </c>
      <c r="E121" s="381" t="s">
        <v>835</v>
      </c>
      <c r="F121" s="382">
        <f>'Order form'!D306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22</v>
      </c>
      <c r="K121" s="384">
        <f>'Order form'!G307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11</v>
      </c>
      <c r="O121" s="1192"/>
    </row>
    <row r="122" spans="1:15" s="386" customFormat="1" ht="12.6" customHeight="1" x14ac:dyDescent="0.25">
      <c r="A122" s="379" t="s">
        <v>153</v>
      </c>
      <c r="B122" s="380" t="s">
        <v>158</v>
      </c>
      <c r="C122" s="381">
        <f>'Order form'!K306</f>
        <v>0</v>
      </c>
      <c r="D122" s="381" t="str">
        <f>'Order form'!I304</f>
        <v>AC-STRAP</v>
      </c>
      <c r="E122" s="381" t="s">
        <v>836</v>
      </c>
      <c r="F122" s="382">
        <f>'Order form'!I306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22</v>
      </c>
      <c r="K122" s="384">
        <f>'Order form'!L307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11</v>
      </c>
      <c r="O122" s="1192"/>
    </row>
    <row r="123" spans="1:15" s="386" customFormat="1" ht="12.6" customHeight="1" x14ac:dyDescent="0.25">
      <c r="A123" s="379" t="s">
        <v>153</v>
      </c>
      <c r="B123" s="380" t="s">
        <v>429</v>
      </c>
      <c r="C123" s="381">
        <f>'Order form'!P306</f>
        <v>0</v>
      </c>
      <c r="D123" s="381" t="str">
        <f>'Order form'!N304</f>
        <v>AL-TAG1</v>
      </c>
      <c r="E123" s="381" t="s">
        <v>837</v>
      </c>
      <c r="F123" s="382">
        <f>'Order form'!N306</f>
        <v>1.5</v>
      </c>
      <c r="G123" s="382">
        <f t="shared" si="10"/>
        <v>0</v>
      </c>
      <c r="H123" s="383">
        <v>6.1600000000000002E-2</v>
      </c>
      <c r="I123" s="384">
        <f t="shared" si="4"/>
        <v>0</v>
      </c>
      <c r="J123" s="384" t="s">
        <v>22</v>
      </c>
      <c r="K123" s="384">
        <f>'Order form'!Q307</f>
        <v>45</v>
      </c>
      <c r="L123" s="384">
        <f t="shared" si="11"/>
        <v>0</v>
      </c>
      <c r="M123" s="385">
        <f t="shared" si="12"/>
        <v>2.7720000000000002</v>
      </c>
      <c r="N123" s="381">
        <f t="shared" si="9"/>
        <v>11</v>
      </c>
      <c r="O123" s="1192"/>
    </row>
    <row r="124" spans="1:15" s="386" customFormat="1" ht="12.6" customHeight="1" x14ac:dyDescent="0.25">
      <c r="A124" s="379" t="s">
        <v>153</v>
      </c>
      <c r="B124" s="380" t="s">
        <v>429</v>
      </c>
      <c r="C124" s="381">
        <f>'Order form'!U306</f>
        <v>0</v>
      </c>
      <c r="D124" s="381" t="str">
        <f>'Order form'!S304</f>
        <v>AL-TAG2</v>
      </c>
      <c r="E124" s="381" t="s">
        <v>838</v>
      </c>
      <c r="F124" s="382">
        <f>'Order form'!S306</f>
        <v>1.5</v>
      </c>
      <c r="G124" s="382">
        <f t="shared" si="10"/>
        <v>0</v>
      </c>
      <c r="H124" s="383">
        <v>8.6019999999999999E-2</v>
      </c>
      <c r="I124" s="384">
        <f t="shared" ref="I124:I125" si="15">C124*H124</f>
        <v>0</v>
      </c>
      <c r="J124" s="384" t="s">
        <v>22</v>
      </c>
      <c r="K124" s="384">
        <f>'Order form'!V307</f>
        <v>90</v>
      </c>
      <c r="L124" s="384">
        <f t="shared" si="11"/>
        <v>0</v>
      </c>
      <c r="M124" s="385">
        <f t="shared" si="12"/>
        <v>7.7417999999999996</v>
      </c>
      <c r="N124" s="381">
        <f t="shared" si="9"/>
        <v>11</v>
      </c>
      <c r="O124" s="1192"/>
    </row>
    <row r="125" spans="1:15" s="386" customFormat="1" ht="12.6" customHeight="1" x14ac:dyDescent="0.25">
      <c r="A125" s="379" t="s">
        <v>153</v>
      </c>
      <c r="B125" s="380" t="s">
        <v>429</v>
      </c>
      <c r="C125" s="381">
        <f>'Order form'!Z306</f>
        <v>0</v>
      </c>
      <c r="D125" s="381" t="str">
        <f>'Order form'!X304</f>
        <v>AC-BUMPER</v>
      </c>
      <c r="E125" s="381" t="s">
        <v>843</v>
      </c>
      <c r="F125" s="382">
        <f>'Order form'!X306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22</v>
      </c>
      <c r="K125" s="384">
        <f>'Order form'!AA307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11</v>
      </c>
      <c r="O125" s="1192"/>
    </row>
    <row r="126" spans="1:15" s="386" customFormat="1" ht="12.6" customHeight="1" x14ac:dyDescent="0.25">
      <c r="A126" s="379" t="s">
        <v>153</v>
      </c>
      <c r="B126" s="380" t="s">
        <v>158</v>
      </c>
      <c r="C126" s="381">
        <f>'Order form'!F317</f>
        <v>0</v>
      </c>
      <c r="D126" s="381" t="str">
        <f>'Order form'!D315</f>
        <v>AW-HOOK</v>
      </c>
      <c r="E126" s="381" t="s">
        <v>844</v>
      </c>
      <c r="F126" s="382">
        <f>'Order form'!D317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22</v>
      </c>
      <c r="K126" s="384">
        <f>'Order form'!G318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11</v>
      </c>
      <c r="O126" s="1192"/>
    </row>
    <row r="127" spans="1:15" s="386" customFormat="1" ht="12.6" customHeight="1" x14ac:dyDescent="0.25">
      <c r="A127" s="379" t="s">
        <v>153</v>
      </c>
      <c r="B127" s="380" t="s">
        <v>158</v>
      </c>
      <c r="C127" s="381">
        <f>'Order form'!K317</f>
        <v>0</v>
      </c>
      <c r="D127" s="381" t="str">
        <f>'Order form'!I315</f>
        <v>AW-HANGER</v>
      </c>
      <c r="E127" s="381" t="s">
        <v>845</v>
      </c>
      <c r="F127" s="382">
        <f>'Order form'!I317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22</v>
      </c>
      <c r="K127" s="396">
        <f>'Order form'!L318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11</v>
      </c>
      <c r="O127" s="1192"/>
    </row>
    <row r="128" spans="1:15" s="386" customFormat="1" ht="12.6" customHeight="1" x14ac:dyDescent="0.25">
      <c r="A128" s="379" t="s">
        <v>153</v>
      </c>
      <c r="B128" s="380" t="s">
        <v>158</v>
      </c>
      <c r="C128" s="381">
        <f>'Order form'!P317</f>
        <v>0</v>
      </c>
      <c r="D128" s="381" t="str">
        <f>'Order form'!N315</f>
        <v>AW-HOLDER</v>
      </c>
      <c r="E128" s="381" t="s">
        <v>846</v>
      </c>
      <c r="F128" s="382">
        <f>'Order form'!N317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22</v>
      </c>
      <c r="K128" s="396">
        <f>'Order form'!Q318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11</v>
      </c>
      <c r="O128" s="1192"/>
    </row>
    <row r="129" spans="1:15" s="386" customFormat="1" ht="12.6" customHeight="1" x14ac:dyDescent="0.25">
      <c r="A129" s="379" t="s">
        <v>154</v>
      </c>
      <c r="B129" s="380" t="s">
        <v>620</v>
      </c>
      <c r="C129" s="381">
        <f>'Order form'!U317</f>
        <v>0</v>
      </c>
      <c r="D129" s="381" t="str">
        <f>'Order form'!S315</f>
        <v>L-M100016</v>
      </c>
      <c r="E129" s="381" t="s">
        <v>847</v>
      </c>
      <c r="F129" s="382">
        <f>'Order form'!S317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22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11</v>
      </c>
      <c r="O129" s="1192"/>
    </row>
    <row r="130" spans="1:15" s="386" customFormat="1" ht="12.6" customHeight="1" x14ac:dyDescent="0.25">
      <c r="A130" s="379" t="s">
        <v>154</v>
      </c>
      <c r="B130" s="380" t="s">
        <v>620</v>
      </c>
      <c r="C130" s="381">
        <f>'Order form'!Z317</f>
        <v>0</v>
      </c>
      <c r="D130" s="381" t="str">
        <f>'Order form'!X315</f>
        <v>L-C100016</v>
      </c>
      <c r="E130" s="381" t="s">
        <v>848</v>
      </c>
      <c r="F130" s="382">
        <f>'Order form'!X317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22</v>
      </c>
      <c r="K130" s="396">
        <f>'Order form'!V318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11</v>
      </c>
      <c r="O130" s="1192"/>
    </row>
    <row r="131" spans="1:15" s="386" customFormat="1" x14ac:dyDescent="0.25">
      <c r="A131" s="379" t="s">
        <v>523</v>
      </c>
      <c r="B131" s="380" t="s">
        <v>158</v>
      </c>
      <c r="C131" s="381">
        <f>'Order form'!F328</f>
        <v>0</v>
      </c>
      <c r="D131" s="381" t="str">
        <f>'Order form'!D326</f>
        <v>FL-COU14-100lbs</v>
      </c>
      <c r="E131" s="381" t="s">
        <v>915</v>
      </c>
      <c r="F131" s="382">
        <f>'Order form'!D328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483</v>
      </c>
      <c r="K131" s="384">
        <f>'Order form'!G329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11</v>
      </c>
      <c r="O131" s="1192"/>
    </row>
    <row r="132" spans="1:15" s="386" customFormat="1" x14ac:dyDescent="0.25">
      <c r="A132" s="379" t="s">
        <v>523</v>
      </c>
      <c r="B132" s="380" t="s">
        <v>158</v>
      </c>
      <c r="C132" s="381">
        <f>'Order form'!K328</f>
        <v>0</v>
      </c>
      <c r="D132" s="381" t="str">
        <f>'Order form'!I326</f>
        <v>FL-COU20-100lbs</v>
      </c>
      <c r="E132" s="381" t="s">
        <v>916</v>
      </c>
      <c r="F132" s="382">
        <f>'Order form'!I328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483</v>
      </c>
      <c r="K132" s="384">
        <f>'Order form'!L329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11</v>
      </c>
      <c r="O132" s="1192"/>
    </row>
    <row r="133" spans="1:15" s="386" customFormat="1" x14ac:dyDescent="0.25">
      <c r="A133" s="379" t="s">
        <v>523</v>
      </c>
      <c r="B133" s="380" t="s">
        <v>158</v>
      </c>
      <c r="C133" s="381">
        <f>'Order form'!P328</f>
        <v>0</v>
      </c>
      <c r="D133" s="381" t="str">
        <f>'Order form'!N326</f>
        <v>FL-COU24-100lbs</v>
      </c>
      <c r="E133" s="381" t="s">
        <v>917</v>
      </c>
      <c r="F133" s="382">
        <f>'Order form'!N328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483</v>
      </c>
      <c r="K133" s="384">
        <f>'Order form'!Q329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11</v>
      </c>
      <c r="O133" s="1192"/>
    </row>
    <row r="134" spans="1:15" s="386" customFormat="1" x14ac:dyDescent="0.25">
      <c r="A134" s="379" t="s">
        <v>153</v>
      </c>
      <c r="B134" s="380" t="s">
        <v>158</v>
      </c>
      <c r="C134" s="381">
        <f>'Order form'!U328</f>
        <v>0</v>
      </c>
      <c r="D134" s="381" t="str">
        <f>'Order form'!S326</f>
        <v>FL-COU-U</v>
      </c>
      <c r="E134" s="381" t="s">
        <v>849</v>
      </c>
      <c r="F134" s="382">
        <f>'Order form'!S328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22</v>
      </c>
      <c r="K134" s="384">
        <f>'Order form'!V329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11</v>
      </c>
      <c r="O134" s="1192"/>
    </row>
    <row r="135" spans="1:15" s="386" customFormat="1" x14ac:dyDescent="0.25">
      <c r="A135" s="379" t="s">
        <v>153</v>
      </c>
      <c r="B135" s="380" t="s">
        <v>158</v>
      </c>
      <c r="C135" s="381">
        <f>'Order form'!Z328</f>
        <v>0</v>
      </c>
      <c r="D135" s="381" t="str">
        <f>'Order form'!X326</f>
        <v>AW-ROLLER</v>
      </c>
      <c r="E135" s="381" t="s">
        <v>850</v>
      </c>
      <c r="F135" s="382">
        <f>'Order form'!X328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22</v>
      </c>
      <c r="K135" s="384">
        <f>'Order form'!AA329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11</v>
      </c>
      <c r="O135" s="1192"/>
    </row>
    <row r="136" spans="1:15" s="386" customFormat="1" x14ac:dyDescent="0.25">
      <c r="A136" s="379" t="s">
        <v>155</v>
      </c>
      <c r="B136" s="380" t="s">
        <v>158</v>
      </c>
      <c r="C136" s="381">
        <f>'Order form'!F339</f>
        <v>0</v>
      </c>
      <c r="D136" s="381" t="str">
        <f>'Order form'!D337</f>
        <v>CO-LWM</v>
      </c>
      <c r="E136" s="381" t="s">
        <v>854</v>
      </c>
      <c r="F136" s="382">
        <f>'Order form'!D339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22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11</v>
      </c>
      <c r="O136" s="1192"/>
    </row>
    <row r="137" spans="1:15" s="386" customFormat="1" x14ac:dyDescent="0.25">
      <c r="A137" s="379" t="s">
        <v>155</v>
      </c>
      <c r="B137" s="380" t="s">
        <v>158</v>
      </c>
      <c r="C137" s="381">
        <f>'Order form'!K339</f>
        <v>0</v>
      </c>
      <c r="D137" s="381" t="str">
        <f>'Order form'!I337</f>
        <v>CO-LWF</v>
      </c>
      <c r="E137" s="381" t="s">
        <v>853</v>
      </c>
      <c r="F137" s="382">
        <f>'Order form'!I339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22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11</v>
      </c>
      <c r="O137" s="1192"/>
    </row>
    <row r="138" spans="1:15" s="386" customFormat="1" x14ac:dyDescent="0.25">
      <c r="A138" s="379" t="s">
        <v>155</v>
      </c>
      <c r="B138" s="380" t="s">
        <v>158</v>
      </c>
      <c r="C138" s="381">
        <f>'Order form'!P339</f>
        <v>0</v>
      </c>
      <c r="D138" s="381" t="str">
        <f>'Order form'!N337</f>
        <v>CO-SLM</v>
      </c>
      <c r="E138" s="381" t="s">
        <v>852</v>
      </c>
      <c r="F138" s="382">
        <f>'Order form'!N339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22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11</v>
      </c>
      <c r="O138" s="1192"/>
    </row>
    <row r="139" spans="1:15" s="386" customFormat="1" x14ac:dyDescent="0.25">
      <c r="A139" s="379" t="s">
        <v>155</v>
      </c>
      <c r="B139" s="380" t="s">
        <v>158</v>
      </c>
      <c r="C139" s="381">
        <f>'Order form'!U339</f>
        <v>0</v>
      </c>
      <c r="D139" s="381" t="str">
        <f>'Order form'!S337</f>
        <v>CO-SLF</v>
      </c>
      <c r="E139" s="381" t="s">
        <v>851</v>
      </c>
      <c r="F139" s="382">
        <f>'Order form'!S339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22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11</v>
      </c>
      <c r="O139" s="1193"/>
    </row>
    <row r="140" spans="1:15" s="684" customFormat="1" ht="12.6" customHeight="1" x14ac:dyDescent="0.25">
      <c r="A140" s="681" t="s">
        <v>154</v>
      </c>
      <c r="B140" s="682" t="s">
        <v>159</v>
      </c>
      <c r="C140" s="680">
        <f>'Order form'!F351</f>
        <v>0</v>
      </c>
      <c r="D140" s="680" t="str">
        <f>'Order form'!D349</f>
        <v>D-HDPEW-481/2</v>
      </c>
      <c r="E140" s="680" t="s">
        <v>855</v>
      </c>
      <c r="F140" s="217">
        <f>'Order form'!D351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2</v>
      </c>
      <c r="K140" s="219">
        <v>1</v>
      </c>
      <c r="L140" s="219">
        <f t="shared" si="18"/>
        <v>0</v>
      </c>
      <c r="M140" s="683">
        <f t="shared" si="19"/>
        <v>80</v>
      </c>
      <c r="N140" s="680">
        <f t="shared" si="17"/>
        <v>11</v>
      </c>
      <c r="O140" s="685"/>
    </row>
    <row r="141" spans="1:15" s="684" customFormat="1" ht="12.6" customHeight="1" x14ac:dyDescent="0.25">
      <c r="A141" s="681" t="s">
        <v>154</v>
      </c>
      <c r="B141" s="682" t="s">
        <v>159</v>
      </c>
      <c r="C141" s="680">
        <f>'Order form'!K351</f>
        <v>0</v>
      </c>
      <c r="D141" s="680" t="str">
        <f>'Order form'!I349</f>
        <v>D-HDPEW-481/4</v>
      </c>
      <c r="E141" s="680" t="s">
        <v>856</v>
      </c>
      <c r="F141" s="217">
        <f>'Order form'!I351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2</v>
      </c>
      <c r="K141" s="219">
        <v>1</v>
      </c>
      <c r="L141" s="219">
        <f t="shared" si="18"/>
        <v>0</v>
      </c>
      <c r="M141" s="683">
        <f t="shared" si="19"/>
        <v>40</v>
      </c>
      <c r="N141" s="680">
        <f t="shared" si="17"/>
        <v>11</v>
      </c>
      <c r="O141" s="407"/>
    </row>
    <row r="142" spans="1:15" s="684" customFormat="1" ht="12.6" customHeight="1" x14ac:dyDescent="0.25">
      <c r="A142" s="681" t="s">
        <v>155</v>
      </c>
      <c r="B142" s="682" t="s">
        <v>159</v>
      </c>
      <c r="C142" s="680">
        <f>'Order form'!P351</f>
        <v>0</v>
      </c>
      <c r="D142" s="680" t="str">
        <f>'Order form'!N349</f>
        <v>D-HDPEB-481/2</v>
      </c>
      <c r="E142" s="680" t="s">
        <v>857</v>
      </c>
      <c r="F142" s="217">
        <f>'Order form'!N351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2</v>
      </c>
      <c r="K142" s="219">
        <v>1</v>
      </c>
      <c r="L142" s="219">
        <f t="shared" si="18"/>
        <v>0</v>
      </c>
      <c r="M142" s="683">
        <f t="shared" si="19"/>
        <v>80</v>
      </c>
      <c r="N142" s="680">
        <f t="shared" si="17"/>
        <v>11</v>
      </c>
      <c r="O142" s="686"/>
    </row>
    <row r="143" spans="1:15" s="684" customFormat="1" ht="12.6" customHeight="1" x14ac:dyDescent="0.25">
      <c r="A143" s="681" t="s">
        <v>155</v>
      </c>
      <c r="B143" s="682" t="s">
        <v>159</v>
      </c>
      <c r="C143" s="680">
        <f>'Order form'!U351</f>
        <v>0</v>
      </c>
      <c r="D143" s="680" t="str">
        <f>'Order form'!S349</f>
        <v>D-HDPEB-481/4</v>
      </c>
      <c r="E143" s="680" t="s">
        <v>858</v>
      </c>
      <c r="F143" s="217">
        <f>'Order form'!S351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2</v>
      </c>
      <c r="K143" s="219">
        <v>1</v>
      </c>
      <c r="L143" s="219">
        <f t="shared" si="18"/>
        <v>0</v>
      </c>
      <c r="M143" s="683">
        <f t="shared" si="19"/>
        <v>40</v>
      </c>
      <c r="N143" s="680">
        <f t="shared" si="17"/>
        <v>11</v>
      </c>
      <c r="O143" s="687"/>
    </row>
    <row r="144" spans="1:15" s="684" customFormat="1" ht="12.6" customHeight="1" x14ac:dyDescent="0.25">
      <c r="A144" s="681" t="s">
        <v>153</v>
      </c>
      <c r="B144" s="682" t="s">
        <v>159</v>
      </c>
      <c r="C144" s="680">
        <f>'Order form'!Z351</f>
        <v>0</v>
      </c>
      <c r="D144" s="680" t="str">
        <f>'Order form'!X349</f>
        <v>D-ALUW-481/8</v>
      </c>
      <c r="E144" s="680" t="s">
        <v>859</v>
      </c>
      <c r="F144" s="217">
        <f>'Order form'!X351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2</v>
      </c>
      <c r="K144" s="219">
        <v>1</v>
      </c>
      <c r="L144" s="219">
        <f t="shared" si="18"/>
        <v>0</v>
      </c>
      <c r="M144" s="683">
        <f t="shared" si="19"/>
        <v>28</v>
      </c>
      <c r="N144" s="680">
        <f t="shared" si="17"/>
        <v>11</v>
      </c>
      <c r="O144" s="687"/>
    </row>
    <row r="145" spans="1:15" s="684" customFormat="1" ht="12.6" customHeight="1" x14ac:dyDescent="0.25">
      <c r="A145" s="681" t="s">
        <v>154</v>
      </c>
      <c r="B145" s="682" t="s">
        <v>621</v>
      </c>
      <c r="C145" s="680">
        <f>'Order form'!F361</f>
        <v>0</v>
      </c>
      <c r="D145" s="680" t="str">
        <f>'Order form'!D359:G359</f>
        <v>D-MMB-281/8</v>
      </c>
      <c r="E145" s="680" t="s">
        <v>860</v>
      </c>
      <c r="F145" s="217">
        <f>'Order form'!D361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2</v>
      </c>
      <c r="K145" s="219">
        <v>1</v>
      </c>
      <c r="L145" s="219">
        <f t="shared" si="18"/>
        <v>0</v>
      </c>
      <c r="M145" s="683">
        <f t="shared" si="19"/>
        <v>7</v>
      </c>
      <c r="N145" s="680">
        <f t="shared" si="17"/>
        <v>11</v>
      </c>
      <c r="O145" s="687">
        <f>SUM(G140:G145)</f>
        <v>0</v>
      </c>
    </row>
    <row r="146" spans="1:15" s="386" customFormat="1" x14ac:dyDescent="0.25">
      <c r="A146" s="379" t="s">
        <v>153</v>
      </c>
      <c r="B146" s="380" t="s">
        <v>622</v>
      </c>
      <c r="C146" s="381">
        <f>'Order form'!F373+('Order form'!F118)+('Order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form'!F151*1)+('Order form'!K151*1)+('Order form'!P151*2)</f>
        <v>250</v>
      </c>
      <c r="D146" s="381" t="str">
        <f>'Order form'!D371</f>
        <v>M6-25B</v>
      </c>
      <c r="E146" s="381" t="s">
        <v>863</v>
      </c>
      <c r="F146" s="382">
        <f>'Order form'!D373</f>
        <v>0.08</v>
      </c>
      <c r="G146" s="382">
        <f t="shared" si="10"/>
        <v>20</v>
      </c>
      <c r="H146" s="383">
        <v>1.54E-2</v>
      </c>
      <c r="I146" s="384">
        <f t="shared" si="16"/>
        <v>3.85</v>
      </c>
      <c r="J146" s="384" t="s">
        <v>22</v>
      </c>
      <c r="K146" s="396">
        <f>'Order form'!G374</f>
        <v>200</v>
      </c>
      <c r="L146" s="384">
        <f t="shared" si="18"/>
        <v>1.25</v>
      </c>
      <c r="M146" s="385">
        <f t="shared" si="19"/>
        <v>3.08</v>
      </c>
      <c r="N146" s="381">
        <f t="shared" si="17"/>
        <v>12</v>
      </c>
      <c r="O146" s="408"/>
    </row>
    <row r="147" spans="1:15" s="386" customFormat="1" x14ac:dyDescent="0.25">
      <c r="A147" s="379" t="s">
        <v>153</v>
      </c>
      <c r="B147" s="380" t="s">
        <v>622</v>
      </c>
      <c r="C147" s="381">
        <f>'Order form'!K373+'Order form'!F118+('Order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form'!Z140*1)+('Order form'!F151*1)+('Order form'!K151*1)+('Order form'!P151*2)</f>
        <v>250</v>
      </c>
      <c r="D147" s="381" t="str">
        <f>'Order form'!I371</f>
        <v>M6-N</v>
      </c>
      <c r="E147" s="381" t="s">
        <v>864</v>
      </c>
      <c r="F147" s="382">
        <f>'Order form'!I373</f>
        <v>7.0000000000000007E-2</v>
      </c>
      <c r="G147" s="382">
        <f t="shared" si="10"/>
        <v>17.5</v>
      </c>
      <c r="H147" s="383">
        <v>4.4000000000000003E-3</v>
      </c>
      <c r="I147" s="384">
        <f t="shared" si="16"/>
        <v>1.1000000000000001</v>
      </c>
      <c r="J147" s="384" t="s">
        <v>22</v>
      </c>
      <c r="K147" s="396">
        <f>'Order form'!L374</f>
        <v>200</v>
      </c>
      <c r="L147" s="384">
        <f t="shared" si="18"/>
        <v>1.25</v>
      </c>
      <c r="M147" s="385">
        <f t="shared" si="19"/>
        <v>0.88</v>
      </c>
      <c r="N147" s="381">
        <f t="shared" si="17"/>
        <v>13</v>
      </c>
      <c r="O147" s="395"/>
    </row>
    <row r="148" spans="1:15" s="386" customFormat="1" x14ac:dyDescent="0.25">
      <c r="A148" s="379" t="s">
        <v>153</v>
      </c>
      <c r="B148" s="380" t="s">
        <v>622</v>
      </c>
      <c r="C148" s="381">
        <f>'Order form'!P373+('Order form'!Z140*1)</f>
        <v>0</v>
      </c>
      <c r="D148" s="381" t="str">
        <f>'Order form'!N371</f>
        <v>M6-12B</v>
      </c>
      <c r="E148" s="381" t="s">
        <v>862</v>
      </c>
      <c r="F148" s="382">
        <f>'Order form'!N373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22</v>
      </c>
      <c r="K148" s="396">
        <f>'Order form'!Q374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13</v>
      </c>
      <c r="O148" s="395"/>
    </row>
    <row r="149" spans="1:15" s="386" customFormat="1" x14ac:dyDescent="0.25">
      <c r="A149" s="379" t="s">
        <v>153</v>
      </c>
      <c r="B149" s="380" t="s">
        <v>622</v>
      </c>
      <c r="C149" s="381">
        <f>'Order form'!$U$373</f>
        <v>0</v>
      </c>
      <c r="D149" s="381" t="str">
        <f>'Order form'!$S$371</f>
        <v>M6-25BTL</v>
      </c>
      <c r="E149" s="381" t="s">
        <v>865</v>
      </c>
      <c r="F149" s="382">
        <f>'Order form'!$S$373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22</v>
      </c>
      <c r="K149" s="396">
        <f>'Order form'!$V$374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13</v>
      </c>
      <c r="O149" s="395"/>
    </row>
    <row r="150" spans="1:15" s="386" customFormat="1" x14ac:dyDescent="0.25">
      <c r="A150" s="379" t="s">
        <v>153</v>
      </c>
      <c r="B150" s="380" t="s">
        <v>622</v>
      </c>
      <c r="C150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form'!F384</f>
        <v>0</v>
      </c>
      <c r="D150" s="381" t="str">
        <f>'Order form'!D382</f>
        <v>M6-25BWZ</v>
      </c>
      <c r="E150" s="381" t="s">
        <v>866</v>
      </c>
      <c r="F150" s="382">
        <f>'Order form'!D384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22</v>
      </c>
      <c r="K150" s="396">
        <f>'Order form'!G385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13</v>
      </c>
      <c r="O150" s="395"/>
    </row>
    <row r="151" spans="1:15" s="386" customFormat="1" x14ac:dyDescent="0.25">
      <c r="A151" s="379" t="s">
        <v>153</v>
      </c>
      <c r="B151" s="380" t="s">
        <v>622</v>
      </c>
      <c r="C151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form'!Z228+'Order form'!K384</f>
        <v>0</v>
      </c>
      <c r="D151" s="381" t="str">
        <f>'Order form'!I382</f>
        <v>M6-NWZ</v>
      </c>
      <c r="E151" s="381" t="s">
        <v>867</v>
      </c>
      <c r="F151" s="382">
        <f>'Order form'!I384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22</v>
      </c>
      <c r="K151" s="396">
        <f>'Order form'!L385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13</v>
      </c>
      <c r="O151" s="395"/>
    </row>
    <row r="152" spans="1:15" s="386" customFormat="1" x14ac:dyDescent="0.25">
      <c r="A152" s="379" t="s">
        <v>153</v>
      </c>
      <c r="B152" s="380" t="s">
        <v>622</v>
      </c>
      <c r="C152" s="381">
        <f>'Order form'!P384+('Order form'!Z217*1)</f>
        <v>0</v>
      </c>
      <c r="D152" s="381" t="str">
        <f>'Order form'!N382</f>
        <v>M6-12BWZ</v>
      </c>
      <c r="E152" s="381" t="s">
        <v>868</v>
      </c>
      <c r="F152" s="382">
        <f>'Order form'!N384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22</v>
      </c>
      <c r="K152" s="396">
        <f>'Order form'!Q385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13</v>
      </c>
      <c r="O152" s="395"/>
    </row>
    <row r="153" spans="1:15" s="386" customFormat="1" x14ac:dyDescent="0.25">
      <c r="A153" s="379" t="s">
        <v>153</v>
      </c>
      <c r="B153" s="380" t="s">
        <v>622</v>
      </c>
      <c r="C153" s="381">
        <f>'Order form'!$U$384</f>
        <v>0</v>
      </c>
      <c r="D153" s="381" t="str">
        <f>'Order form'!$S$382</f>
        <v>M6-25BWZTL</v>
      </c>
      <c r="E153" s="381" t="s">
        <v>869</v>
      </c>
      <c r="F153" s="382">
        <f>'Order form'!$S$384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22</v>
      </c>
      <c r="K153" s="396">
        <f>'Order form'!$V$385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13</v>
      </c>
      <c r="O153" s="395"/>
    </row>
    <row r="154" spans="1:15" s="386" customFormat="1" x14ac:dyDescent="0.25">
      <c r="A154" s="379" t="s">
        <v>153</v>
      </c>
      <c r="B154" s="380" t="s">
        <v>623</v>
      </c>
      <c r="C154" s="381">
        <f>'Order form'!F396</f>
        <v>0</v>
      </c>
      <c r="D154" s="381" t="str">
        <f>'Order form'!D394</f>
        <v>F-A85/8</v>
      </c>
      <c r="E154" s="381" t="s">
        <v>872</v>
      </c>
      <c r="F154" s="382">
        <f>'Order form'!D396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389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13</v>
      </c>
      <c r="O154" s="395"/>
    </row>
    <row r="155" spans="1:15" s="386" customFormat="1" x14ac:dyDescent="0.25">
      <c r="A155" s="379" t="s">
        <v>153</v>
      </c>
      <c r="B155" s="380" t="s">
        <v>623</v>
      </c>
      <c r="C155" s="381">
        <f>'Order form'!K396</f>
        <v>0</v>
      </c>
      <c r="D155" s="381" t="str">
        <f>'Order form'!I394</f>
        <v>F-C61</v>
      </c>
      <c r="E155" s="381" t="s">
        <v>871</v>
      </c>
      <c r="F155" s="382">
        <f>'Order form'!I396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389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13</v>
      </c>
      <c r="O155" s="395"/>
    </row>
    <row r="156" spans="1:15" s="386" customFormat="1" x14ac:dyDescent="0.25">
      <c r="A156" s="379" t="s">
        <v>153</v>
      </c>
      <c r="B156" s="380" t="s">
        <v>623</v>
      </c>
      <c r="C156" s="381">
        <f>'Order form'!P396</f>
        <v>0</v>
      </c>
      <c r="D156" s="381" t="str">
        <f>'Order form'!N394</f>
        <v>F-S81/2</v>
      </c>
      <c r="E156" s="381" t="s">
        <v>870</v>
      </c>
      <c r="F156" s="382">
        <f>'Order form'!N396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389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13</v>
      </c>
      <c r="O156" s="395"/>
    </row>
    <row r="157" spans="1:15" s="386" customFormat="1" x14ac:dyDescent="0.25">
      <c r="A157" s="379" t="s">
        <v>153</v>
      </c>
      <c r="B157" s="380" t="s">
        <v>158</v>
      </c>
      <c r="C157" s="381">
        <f>'Order form'!U396</f>
        <v>0</v>
      </c>
      <c r="D157" s="381" t="str">
        <f>'Order form'!S394</f>
        <v>F-BUS</v>
      </c>
      <c r="E157" s="381" t="s">
        <v>873</v>
      </c>
      <c r="F157" s="382">
        <f>'Order form'!S396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8" t="s">
        <v>22</v>
      </c>
      <c r="K157" s="396">
        <f>'Order form'!V397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13</v>
      </c>
      <c r="O157" s="395"/>
    </row>
    <row r="158" spans="1:15" s="386" customFormat="1" x14ac:dyDescent="0.25">
      <c r="A158" s="379" t="s">
        <v>153</v>
      </c>
      <c r="B158" s="380" t="s">
        <v>158</v>
      </c>
      <c r="C158" s="381">
        <f>'Order form'!F407</f>
        <v>8</v>
      </c>
      <c r="D158" s="381" t="str">
        <f>'Order form'!D405</f>
        <v>WF-UP</v>
      </c>
      <c r="E158" s="381" t="s">
        <v>874</v>
      </c>
      <c r="F158" s="382">
        <f>'Order form'!D407</f>
        <v>0.8</v>
      </c>
      <c r="G158" s="382">
        <f t="shared" si="10"/>
        <v>6.4</v>
      </c>
      <c r="H158" s="383">
        <v>0.1804</v>
      </c>
      <c r="I158" s="384">
        <f t="shared" si="16"/>
        <v>1.4432</v>
      </c>
      <c r="J158" s="384" t="s">
        <v>22</v>
      </c>
      <c r="K158" s="396">
        <f>'Order form'!G408</f>
        <v>180</v>
      </c>
      <c r="L158" s="384">
        <f t="shared" si="18"/>
        <v>4.4444444444444446E-2</v>
      </c>
      <c r="M158" s="385">
        <f t="shared" si="19"/>
        <v>32.472000000000001</v>
      </c>
      <c r="N158" s="381">
        <f t="shared" si="17"/>
        <v>14</v>
      </c>
      <c r="O158" s="395"/>
    </row>
    <row r="159" spans="1:15" s="386" customFormat="1" x14ac:dyDescent="0.25">
      <c r="A159" s="379" t="s">
        <v>153</v>
      </c>
      <c r="B159" s="380" t="s">
        <v>158</v>
      </c>
      <c r="C159" s="381">
        <f>'Order form'!K407</f>
        <v>8</v>
      </c>
      <c r="D159" s="381" t="str">
        <f>'Order form'!I405</f>
        <v>WF-LOW</v>
      </c>
      <c r="E159" s="381" t="s">
        <v>875</v>
      </c>
      <c r="F159" s="382">
        <f>'Order form'!I407</f>
        <v>0.8</v>
      </c>
      <c r="G159" s="382">
        <f t="shared" si="10"/>
        <v>6.4</v>
      </c>
      <c r="H159" s="383">
        <v>0.17380000000000001</v>
      </c>
      <c r="I159" s="384">
        <f t="shared" si="16"/>
        <v>1.3904000000000001</v>
      </c>
      <c r="J159" s="384" t="s">
        <v>22</v>
      </c>
      <c r="K159" s="396">
        <f>'Order form'!L408</f>
        <v>180</v>
      </c>
      <c r="L159" s="384">
        <f t="shared" si="18"/>
        <v>4.4444444444444446E-2</v>
      </c>
      <c r="M159" s="385">
        <f t="shared" si="19"/>
        <v>31.284000000000002</v>
      </c>
      <c r="N159" s="381">
        <f t="shared" si="17"/>
        <v>15</v>
      </c>
      <c r="O159" s="395"/>
    </row>
    <row r="160" spans="1:15" s="386" customFormat="1" x14ac:dyDescent="0.25">
      <c r="A160" s="379" t="s">
        <v>153</v>
      </c>
      <c r="B160" s="380" t="s">
        <v>158</v>
      </c>
      <c r="C160" s="381">
        <f>'Order form'!P407</f>
        <v>0</v>
      </c>
      <c r="D160" s="381" t="str">
        <f>'Order form'!N405</f>
        <v>WF-LARGE</v>
      </c>
      <c r="E160" s="381" t="s">
        <v>876</v>
      </c>
      <c r="F160" s="382">
        <f>'Order form'!N407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22</v>
      </c>
      <c r="K160" s="396">
        <f>'Order form'!Q408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15</v>
      </c>
      <c r="O160" s="395"/>
    </row>
    <row r="161" spans="1:15" s="386" customFormat="1" x14ac:dyDescent="0.25">
      <c r="A161" s="379" t="s">
        <v>153</v>
      </c>
      <c r="B161" s="380" t="s">
        <v>158</v>
      </c>
      <c r="C161" s="381">
        <f>'Order form'!U407</f>
        <v>0</v>
      </c>
      <c r="D161" s="381" t="str">
        <f>'Order form'!S405</f>
        <v>WF-LPLATE</v>
      </c>
      <c r="E161" s="381" t="s">
        <v>878</v>
      </c>
      <c r="F161" s="382">
        <f>'Order form'!S407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22</v>
      </c>
      <c r="K161" s="396">
        <f>'Order form'!V408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15</v>
      </c>
      <c r="O161" s="395"/>
    </row>
    <row r="162" spans="1:15" s="386" customFormat="1" x14ac:dyDescent="0.25">
      <c r="A162" s="379" t="s">
        <v>153</v>
      </c>
      <c r="B162" s="380" t="s">
        <v>158</v>
      </c>
      <c r="C162" s="381">
        <f>'Order form'!Z407</f>
        <v>0</v>
      </c>
      <c r="D162" s="381" t="str">
        <f>'Order form'!X405</f>
        <v>WF-RPLATE</v>
      </c>
      <c r="E162" s="381" t="s">
        <v>879</v>
      </c>
      <c r="F162" s="382">
        <f>'Order form'!X407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22</v>
      </c>
      <c r="K162" s="396">
        <f>'Order form'!AA408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15</v>
      </c>
      <c r="O162" s="398"/>
    </row>
    <row r="163" spans="1:15" s="386" customFormat="1" x14ac:dyDescent="0.25">
      <c r="A163" s="379" t="s">
        <v>153</v>
      </c>
      <c r="B163" s="380" t="s">
        <v>157</v>
      </c>
      <c r="C163" s="381">
        <f>'Order form'!F418</f>
        <v>16</v>
      </c>
      <c r="D163" s="381" t="str">
        <f>'Order form'!D416</f>
        <v>M8-40B</v>
      </c>
      <c r="E163" s="381" t="s">
        <v>880</v>
      </c>
      <c r="F163" s="382">
        <f>'Order form'!D418</f>
        <v>0.15</v>
      </c>
      <c r="G163" s="382">
        <f t="shared" ref="G163:G208" si="20">F163*C163</f>
        <v>2.4</v>
      </c>
      <c r="H163" s="383">
        <v>3.7400000000000003E-2</v>
      </c>
      <c r="I163" s="384">
        <f t="shared" si="16"/>
        <v>0.59840000000000004</v>
      </c>
      <c r="J163" s="384" t="s">
        <v>22</v>
      </c>
      <c r="K163" s="396">
        <f>'Order form'!G419</f>
        <v>200</v>
      </c>
      <c r="L163" s="384">
        <f t="shared" si="18"/>
        <v>0.08</v>
      </c>
      <c r="M163" s="385">
        <f t="shared" si="19"/>
        <v>7.48</v>
      </c>
      <c r="N163" s="381">
        <f t="shared" si="17"/>
        <v>16</v>
      </c>
      <c r="O163" s="398"/>
    </row>
    <row r="164" spans="1:15" s="386" customFormat="1" x14ac:dyDescent="0.25">
      <c r="A164" s="379" t="s">
        <v>153</v>
      </c>
      <c r="B164" s="380" t="s">
        <v>157</v>
      </c>
      <c r="C164" s="381">
        <f>'Order form'!K418</f>
        <v>16</v>
      </c>
      <c r="D164" s="381" t="str">
        <f>'Order form'!I416</f>
        <v>M8-N</v>
      </c>
      <c r="E164" s="381" t="s">
        <v>881</v>
      </c>
      <c r="F164" s="382">
        <f>'Order form'!I418</f>
        <v>0.05</v>
      </c>
      <c r="G164" s="382">
        <f t="shared" si="20"/>
        <v>0.8</v>
      </c>
      <c r="H164" s="383">
        <v>8.8000000000000005E-3</v>
      </c>
      <c r="I164" s="384">
        <f t="shared" si="16"/>
        <v>0.14080000000000001</v>
      </c>
      <c r="J164" s="384" t="s">
        <v>22</v>
      </c>
      <c r="K164" s="396">
        <f>'Order form'!L419</f>
        <v>200</v>
      </c>
      <c r="L164" s="384">
        <f t="shared" si="18"/>
        <v>0.08</v>
      </c>
      <c r="M164" s="385">
        <f t="shared" si="19"/>
        <v>1.76</v>
      </c>
      <c r="N164" s="381">
        <f t="shared" si="17"/>
        <v>17</v>
      </c>
      <c r="O164" s="400">
        <f>SUM(G146:G164)</f>
        <v>53.499999999999993</v>
      </c>
    </row>
    <row r="165" spans="1:15" s="684" customFormat="1" ht="12.6" customHeight="1" x14ac:dyDescent="0.25">
      <c r="A165" s="681" t="s">
        <v>153</v>
      </c>
      <c r="B165" s="682" t="s">
        <v>430</v>
      </c>
      <c r="C165" s="680">
        <f>'Order form'!F431</f>
        <v>4</v>
      </c>
      <c r="D165" s="680" t="str">
        <f>'Order form'!D429</f>
        <v>W-3ESB</v>
      </c>
      <c r="E165" s="680" t="s">
        <v>883</v>
      </c>
      <c r="F165" s="217">
        <f>'Order form'!D431</f>
        <v>9</v>
      </c>
      <c r="G165" s="217">
        <f>F165*C165</f>
        <v>36</v>
      </c>
      <c r="H165" s="218">
        <v>1.595</v>
      </c>
      <c r="I165" s="219">
        <f>C165*H165</f>
        <v>6.38</v>
      </c>
      <c r="J165" s="219" t="s">
        <v>22</v>
      </c>
      <c r="K165" s="219">
        <f>'Order form'!G432</f>
        <v>6</v>
      </c>
      <c r="L165" s="219">
        <f t="shared" ref="L165:L196" si="21">C165/K165</f>
        <v>0.66666666666666663</v>
      </c>
      <c r="M165" s="683">
        <f t="shared" ref="M165:M196" si="22">K165*H165</f>
        <v>9.57</v>
      </c>
      <c r="N165" s="680">
        <f t="shared" si="17"/>
        <v>18</v>
      </c>
      <c r="O165" s="1194">
        <f>SUM(G165:G176)</f>
        <v>78</v>
      </c>
    </row>
    <row r="166" spans="1:15" s="684" customFormat="1" ht="12.6" customHeight="1" x14ac:dyDescent="0.25">
      <c r="A166" s="681" t="s">
        <v>153</v>
      </c>
      <c r="B166" s="682" t="s">
        <v>430</v>
      </c>
      <c r="C166" s="680">
        <f>'Order form'!K431</f>
        <v>0</v>
      </c>
      <c r="D166" s="680" t="str">
        <f>'Order form'!I429</f>
        <v>W-3EF</v>
      </c>
      <c r="E166" s="680" t="s">
        <v>891</v>
      </c>
      <c r="F166" s="217">
        <f>'Order form'!I431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22</v>
      </c>
      <c r="K166" s="219">
        <f>'Order form'!L432</f>
        <v>6</v>
      </c>
      <c r="L166" s="219">
        <f t="shared" si="21"/>
        <v>0</v>
      </c>
      <c r="M166" s="683">
        <f t="shared" si="22"/>
        <v>6.9959999999999996</v>
      </c>
      <c r="N166" s="680">
        <f t="shared" si="17"/>
        <v>18</v>
      </c>
      <c r="O166" s="1195"/>
    </row>
    <row r="167" spans="1:15" s="684" customFormat="1" ht="12.6" customHeight="1" x14ac:dyDescent="0.25">
      <c r="A167" s="681" t="s">
        <v>153</v>
      </c>
      <c r="B167" s="682" t="s">
        <v>430</v>
      </c>
      <c r="C167" s="680">
        <f>'Order form'!U431</f>
        <v>0</v>
      </c>
      <c r="D167" s="680" t="str">
        <f>'Order form'!S429</f>
        <v>EW-3ESB</v>
      </c>
      <c r="E167" s="680" t="s">
        <v>885</v>
      </c>
      <c r="F167" s="217">
        <f>'Order form'!S431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22</v>
      </c>
      <c r="K167" s="219">
        <f>'Order form'!V432</f>
        <v>6</v>
      </c>
      <c r="L167" s="219">
        <f t="shared" si="21"/>
        <v>0</v>
      </c>
      <c r="M167" s="683">
        <f t="shared" si="22"/>
        <v>6.9959999999999996</v>
      </c>
      <c r="N167" s="680">
        <f t="shared" si="17"/>
        <v>18</v>
      </c>
      <c r="O167" s="1195"/>
    </row>
    <row r="168" spans="1:15" s="684" customFormat="1" ht="12.6" customHeight="1" x14ac:dyDescent="0.25">
      <c r="A168" s="681" t="s">
        <v>153</v>
      </c>
      <c r="B168" s="682" t="s">
        <v>430</v>
      </c>
      <c r="C168" s="680">
        <f>'Order form'!Z431</f>
        <v>0</v>
      </c>
      <c r="D168" s="680" t="str">
        <f>'Order form'!X429</f>
        <v>EW-3EF</v>
      </c>
      <c r="E168" s="680" t="s">
        <v>892</v>
      </c>
      <c r="F168" s="217">
        <f>'Order form'!X431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22</v>
      </c>
      <c r="K168" s="219">
        <f>'Order form'!AA432</f>
        <v>6</v>
      </c>
      <c r="L168" s="219">
        <f t="shared" si="21"/>
        <v>0</v>
      </c>
      <c r="M168" s="683">
        <f t="shared" si="22"/>
        <v>8.58</v>
      </c>
      <c r="N168" s="680">
        <f t="shared" si="17"/>
        <v>18</v>
      </c>
      <c r="O168" s="1195"/>
    </row>
    <row r="169" spans="1:15" s="684" customFormat="1" ht="12.6" customHeight="1" x14ac:dyDescent="0.25">
      <c r="A169" s="681" t="s">
        <v>153</v>
      </c>
      <c r="B169" s="682" t="s">
        <v>430</v>
      </c>
      <c r="C169" s="680">
        <f>'Order form'!F442</f>
        <v>0</v>
      </c>
      <c r="D169" s="680" t="str">
        <f>'Order form'!D440</f>
        <v>W-4ESB</v>
      </c>
      <c r="E169" s="680" t="s">
        <v>882</v>
      </c>
      <c r="F169" s="217">
        <f>'Order form'!D442</f>
        <v>10</v>
      </c>
      <c r="G169" s="217">
        <f t="shared" si="20"/>
        <v>0</v>
      </c>
      <c r="H169" s="218">
        <v>1.881</v>
      </c>
      <c r="I169" s="219">
        <f t="shared" si="23"/>
        <v>0</v>
      </c>
      <c r="J169" s="219" t="s">
        <v>22</v>
      </c>
      <c r="K169" s="219">
        <f>'Order form'!G443</f>
        <v>4</v>
      </c>
      <c r="L169" s="219">
        <f t="shared" si="21"/>
        <v>0</v>
      </c>
      <c r="M169" s="683">
        <f t="shared" si="22"/>
        <v>7.524</v>
      </c>
      <c r="N169" s="680">
        <f t="shared" si="17"/>
        <v>18</v>
      </c>
      <c r="O169" s="1195"/>
    </row>
    <row r="170" spans="1:15" s="684" customFormat="1" x14ac:dyDescent="0.25">
      <c r="A170" s="681" t="s">
        <v>153</v>
      </c>
      <c r="B170" s="682" t="s">
        <v>430</v>
      </c>
      <c r="C170" s="680">
        <f>'Order form'!K442</f>
        <v>0</v>
      </c>
      <c r="D170" s="680" t="str">
        <f>'Order form'!I440</f>
        <v>W-4EF</v>
      </c>
      <c r="E170" s="680" t="s">
        <v>893</v>
      </c>
      <c r="F170" s="217">
        <f>'Order form'!I442</f>
        <v>12.5</v>
      </c>
      <c r="G170" s="217">
        <f t="shared" si="20"/>
        <v>0</v>
      </c>
      <c r="H170" s="218">
        <v>1.496</v>
      </c>
      <c r="I170" s="219">
        <f t="shared" si="23"/>
        <v>0</v>
      </c>
      <c r="J170" s="219" t="s">
        <v>22</v>
      </c>
      <c r="K170" s="219">
        <f>'Order form'!L443</f>
        <v>4</v>
      </c>
      <c r="L170" s="219">
        <f t="shared" si="21"/>
        <v>0</v>
      </c>
      <c r="M170" s="683">
        <f t="shared" si="22"/>
        <v>5.984</v>
      </c>
      <c r="N170" s="680">
        <f t="shared" si="17"/>
        <v>18</v>
      </c>
      <c r="O170" s="1195"/>
    </row>
    <row r="171" spans="1:15" s="684" customFormat="1" ht="12.6" customHeight="1" x14ac:dyDescent="0.25">
      <c r="A171" s="681" t="s">
        <v>153</v>
      </c>
      <c r="B171" s="682" t="s">
        <v>430</v>
      </c>
      <c r="C171" s="680">
        <f>'Order form'!U442</f>
        <v>0</v>
      </c>
      <c r="D171" s="680" t="str">
        <f>'Order form'!S440</f>
        <v>EW-4ESB</v>
      </c>
      <c r="E171" s="680" t="s">
        <v>884</v>
      </c>
      <c r="F171" s="217">
        <f>'Order form'!S442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22</v>
      </c>
      <c r="K171" s="219">
        <f>'Order form'!V443</f>
        <v>4</v>
      </c>
      <c r="L171" s="219">
        <f t="shared" si="21"/>
        <v>0</v>
      </c>
      <c r="M171" s="683">
        <f t="shared" si="22"/>
        <v>7.04</v>
      </c>
      <c r="N171" s="680">
        <f t="shared" si="17"/>
        <v>18</v>
      </c>
      <c r="O171" s="1195"/>
    </row>
    <row r="172" spans="1:15" s="684" customFormat="1" ht="12.6" customHeight="1" x14ac:dyDescent="0.25">
      <c r="A172" s="681" t="s">
        <v>153</v>
      </c>
      <c r="B172" s="682" t="s">
        <v>430</v>
      </c>
      <c r="C172" s="680">
        <f>'Order form'!Z442</f>
        <v>0</v>
      </c>
      <c r="D172" s="680" t="str">
        <f>'Order form'!X440</f>
        <v>EW-4EF</v>
      </c>
      <c r="E172" s="680" t="s">
        <v>894</v>
      </c>
      <c r="F172" s="217">
        <f>'Order form'!X442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22</v>
      </c>
      <c r="K172" s="219">
        <f>'Order form'!AA443</f>
        <v>4</v>
      </c>
      <c r="L172" s="219">
        <f t="shared" si="21"/>
        <v>0</v>
      </c>
      <c r="M172" s="683">
        <f t="shared" si="22"/>
        <v>5.72</v>
      </c>
      <c r="N172" s="680">
        <f t="shared" si="17"/>
        <v>18</v>
      </c>
      <c r="O172" s="1195"/>
    </row>
    <row r="173" spans="1:15" s="684" customFormat="1" ht="12.6" customHeight="1" x14ac:dyDescent="0.25">
      <c r="A173" s="681" t="s">
        <v>153</v>
      </c>
      <c r="B173" s="682" t="s">
        <v>430</v>
      </c>
      <c r="C173" s="680">
        <f>'Order form'!F453</f>
        <v>4</v>
      </c>
      <c r="D173" s="680" t="str">
        <f>'Order form'!D451:G451</f>
        <v>W-4PSB</v>
      </c>
      <c r="E173" s="680" t="s">
        <v>886</v>
      </c>
      <c r="F173" s="217">
        <f>'Order form'!D453</f>
        <v>10.5</v>
      </c>
      <c r="G173" s="217">
        <f t="shared" ref="G173:G176" si="24">F173*C173</f>
        <v>42</v>
      </c>
      <c r="H173" s="218">
        <v>1.881</v>
      </c>
      <c r="I173" s="219">
        <f t="shared" ref="I173:I176" si="25">C173*H173</f>
        <v>7.524</v>
      </c>
      <c r="J173" s="219" t="s">
        <v>22</v>
      </c>
      <c r="K173" s="219">
        <f>'Order form'!G454</f>
        <v>4</v>
      </c>
      <c r="L173" s="219">
        <f t="shared" si="21"/>
        <v>1</v>
      </c>
      <c r="M173" s="683">
        <f t="shared" si="22"/>
        <v>7.524</v>
      </c>
      <c r="N173" s="680">
        <f t="shared" si="17"/>
        <v>19</v>
      </c>
      <c r="O173" s="1195"/>
    </row>
    <row r="174" spans="1:15" s="684" customFormat="1" ht="12.6" customHeight="1" x14ac:dyDescent="0.25">
      <c r="A174" s="681" t="s">
        <v>153</v>
      </c>
      <c r="B174" s="682" t="s">
        <v>430</v>
      </c>
      <c r="C174" s="680">
        <f>'Order form'!K453</f>
        <v>0</v>
      </c>
      <c r="D174" s="680" t="str">
        <f>'Order form'!I451</f>
        <v>W-4PF</v>
      </c>
      <c r="E174" s="680" t="s">
        <v>887</v>
      </c>
      <c r="F174" s="217">
        <f>'Order form'!I453</f>
        <v>8.5</v>
      </c>
      <c r="G174" s="217">
        <f t="shared" si="24"/>
        <v>0</v>
      </c>
      <c r="H174" s="218">
        <v>1.804</v>
      </c>
      <c r="I174" s="219">
        <f t="shared" si="25"/>
        <v>0</v>
      </c>
      <c r="J174" s="219" t="s">
        <v>22</v>
      </c>
      <c r="K174" s="219">
        <f>'Order form'!L454</f>
        <v>4</v>
      </c>
      <c r="L174" s="219">
        <f t="shared" si="21"/>
        <v>0</v>
      </c>
      <c r="M174" s="683">
        <f t="shared" si="22"/>
        <v>7.2160000000000002</v>
      </c>
      <c r="N174" s="680">
        <f t="shared" si="17"/>
        <v>19</v>
      </c>
      <c r="O174" s="1195"/>
    </row>
    <row r="175" spans="1:15" s="684" customFormat="1" ht="12.6" customHeight="1" x14ac:dyDescent="0.25">
      <c r="A175" s="681" t="s">
        <v>153</v>
      </c>
      <c r="B175" s="682" t="s">
        <v>158</v>
      </c>
      <c r="C175" s="680">
        <f>'Order form'!U453</f>
        <v>0</v>
      </c>
      <c r="D175" s="680" t="str">
        <f>'Order form'!S451</f>
        <v>W-6PSB</v>
      </c>
      <c r="E175" s="680" t="s">
        <v>888</v>
      </c>
      <c r="F175" s="217">
        <f>'Order form'!S453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22</v>
      </c>
      <c r="K175" s="219">
        <f>'Order form'!V454</f>
        <v>2</v>
      </c>
      <c r="L175" s="219">
        <f t="shared" si="21"/>
        <v>0</v>
      </c>
      <c r="M175" s="683">
        <f t="shared" si="22"/>
        <v>4.68</v>
      </c>
      <c r="N175" s="680">
        <f t="shared" si="17"/>
        <v>19</v>
      </c>
      <c r="O175" s="1195"/>
    </row>
    <row r="176" spans="1:15" s="684" customFormat="1" ht="12.6" customHeight="1" x14ac:dyDescent="0.25">
      <c r="A176" s="681" t="s">
        <v>153</v>
      </c>
      <c r="B176" s="682" t="s">
        <v>158</v>
      </c>
      <c r="C176" s="680">
        <f>'Order form'!Z453</f>
        <v>0</v>
      </c>
      <c r="D176" s="680" t="str">
        <f>'Order form'!X451</f>
        <v>W-6PF</v>
      </c>
      <c r="E176" s="680" t="s">
        <v>889</v>
      </c>
      <c r="F176" s="217">
        <f>'Order form'!X453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22</v>
      </c>
      <c r="K176" s="219">
        <f>'Order form'!AA454</f>
        <v>2</v>
      </c>
      <c r="L176" s="219">
        <f t="shared" si="21"/>
        <v>0</v>
      </c>
      <c r="M176" s="683">
        <f t="shared" si="22"/>
        <v>3.19</v>
      </c>
      <c r="N176" s="680">
        <f t="shared" si="17"/>
        <v>19</v>
      </c>
      <c r="O176" s="1196"/>
    </row>
    <row r="177" spans="1:15" s="386" customFormat="1" ht="12.6" customHeight="1" x14ac:dyDescent="0.25">
      <c r="A177" s="379" t="s">
        <v>155</v>
      </c>
      <c r="B177" s="380" t="s">
        <v>163</v>
      </c>
      <c r="C177" s="381">
        <f>'Order form'!F466</f>
        <v>0</v>
      </c>
      <c r="D177" s="381" t="str">
        <f>'Order form'!D464</f>
        <v>KIT-Q5</v>
      </c>
      <c r="E177" s="381" t="s">
        <v>897</v>
      </c>
      <c r="F177" s="382">
        <f>'Order form'!D466</f>
        <v>1500</v>
      </c>
      <c r="G177" s="382">
        <f t="shared" si="20"/>
        <v>0</v>
      </c>
      <c r="H177" s="703">
        <v>500</v>
      </c>
      <c r="I177" s="384">
        <f t="shared" si="23"/>
        <v>0</v>
      </c>
      <c r="J177" s="384" t="s">
        <v>381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19</v>
      </c>
      <c r="O177" s="1181"/>
    </row>
    <row r="178" spans="1:15" s="386" customFormat="1" x14ac:dyDescent="0.25">
      <c r="A178" s="379" t="s">
        <v>155</v>
      </c>
      <c r="B178" s="380" t="s">
        <v>163</v>
      </c>
      <c r="C178" s="381">
        <f>'Order form'!K466</f>
        <v>0</v>
      </c>
      <c r="D178" s="381" t="str">
        <f>'Order form'!I464</f>
        <v>KIT-FLOW</v>
      </c>
      <c r="E178" s="381" t="s">
        <v>890</v>
      </c>
      <c r="F178" s="382">
        <f>'Order form'!I466</f>
        <v>1500</v>
      </c>
      <c r="G178" s="382">
        <f t="shared" si="20"/>
        <v>0</v>
      </c>
      <c r="H178" s="703">
        <v>500</v>
      </c>
      <c r="I178" s="384">
        <f t="shared" si="23"/>
        <v>0</v>
      </c>
      <c r="J178" s="384" t="s">
        <v>381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19</v>
      </c>
      <c r="O178" s="1182"/>
    </row>
    <row r="179" spans="1:15" s="386" customFormat="1" x14ac:dyDescent="0.25">
      <c r="A179" s="379" t="s">
        <v>155</v>
      </c>
      <c r="B179" s="380" t="s">
        <v>163</v>
      </c>
      <c r="C179" s="381">
        <f>'Order form'!P466</f>
        <v>0</v>
      </c>
      <c r="D179" s="381" t="str">
        <f>'Order form'!N464</f>
        <v>KIT-CART</v>
      </c>
      <c r="E179" s="381" t="s">
        <v>896</v>
      </c>
      <c r="F179" s="382">
        <f>'Order form'!N466</f>
        <v>1500</v>
      </c>
      <c r="G179" s="382">
        <f t="shared" si="20"/>
        <v>0</v>
      </c>
      <c r="H179" s="703">
        <v>500</v>
      </c>
      <c r="I179" s="384">
        <f t="shared" si="23"/>
        <v>0</v>
      </c>
      <c r="J179" s="384" t="s">
        <v>381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19</v>
      </c>
      <c r="O179" s="1182"/>
    </row>
    <row r="180" spans="1:15" s="386" customFormat="1" x14ac:dyDescent="0.25">
      <c r="A180" s="379" t="s">
        <v>155</v>
      </c>
      <c r="B180" s="380" t="s">
        <v>163</v>
      </c>
      <c r="C180" s="381">
        <f>'Order form'!U466</f>
        <v>0</v>
      </c>
      <c r="D180" s="381" t="str">
        <f>'Order form'!S464</f>
        <v>KIT-STATION</v>
      </c>
      <c r="E180" s="381" t="s">
        <v>895</v>
      </c>
      <c r="F180" s="382">
        <f>'Order form'!S466</f>
        <v>1500</v>
      </c>
      <c r="G180" s="382">
        <f t="shared" si="20"/>
        <v>0</v>
      </c>
      <c r="H180" s="703">
        <v>550</v>
      </c>
      <c r="I180" s="384">
        <f t="shared" si="23"/>
        <v>0</v>
      </c>
      <c r="J180" s="384" t="s">
        <v>381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19</v>
      </c>
      <c r="O180" s="1182"/>
    </row>
    <row r="181" spans="1:15" s="386" customFormat="1" x14ac:dyDescent="0.25">
      <c r="A181" s="379" t="s">
        <v>155</v>
      </c>
      <c r="B181" s="380" t="s">
        <v>163</v>
      </c>
      <c r="C181" s="381">
        <f>'Order form'!Z466</f>
        <v>0</v>
      </c>
      <c r="D181" s="381" t="str">
        <f>'Order form'!X464</f>
        <v>KIT-SM</v>
      </c>
      <c r="E181" s="381" t="s">
        <v>898</v>
      </c>
      <c r="F181" s="382">
        <f>'Order form'!X466</f>
        <v>500</v>
      </c>
      <c r="G181" s="382">
        <f t="shared" si="20"/>
        <v>0</v>
      </c>
      <c r="H181" s="703">
        <v>200</v>
      </c>
      <c r="I181" s="384">
        <f t="shared" si="23"/>
        <v>0</v>
      </c>
      <c r="J181" s="384" t="s">
        <v>381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19</v>
      </c>
      <c r="O181" s="1182"/>
    </row>
    <row r="182" spans="1:15" s="386" customFormat="1" x14ac:dyDescent="0.25">
      <c r="A182" s="379" t="s">
        <v>155</v>
      </c>
      <c r="B182" s="380" t="s">
        <v>163</v>
      </c>
      <c r="C182" s="381">
        <f>'Order form'!F476</f>
        <v>0</v>
      </c>
      <c r="D182" s="381" t="str">
        <f>'Order form'!D474</f>
        <v>KIT-CRIB</v>
      </c>
      <c r="E182" s="381" t="s">
        <v>899</v>
      </c>
      <c r="F182" s="382">
        <f>'Order form'!D476</f>
        <v>1950</v>
      </c>
      <c r="G182" s="382">
        <f t="shared" si="20"/>
        <v>0</v>
      </c>
      <c r="H182" s="703">
        <v>600</v>
      </c>
      <c r="I182" s="384">
        <f t="shared" si="23"/>
        <v>0</v>
      </c>
      <c r="J182" s="384" t="s">
        <v>381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19</v>
      </c>
      <c r="O182" s="1182"/>
    </row>
    <row r="183" spans="1:15" s="386" customFormat="1" x14ac:dyDescent="0.25">
      <c r="A183" s="379" t="s">
        <v>155</v>
      </c>
      <c r="B183" s="380" t="s">
        <v>626</v>
      </c>
      <c r="C183" s="381">
        <f>'Order form'!K476</f>
        <v>0</v>
      </c>
      <c r="D183" s="381" t="str">
        <f>'Order form'!I474</f>
        <v>F-CTRAINING</v>
      </c>
      <c r="E183" s="381" t="s">
        <v>900</v>
      </c>
      <c r="F183" s="382">
        <f>'Order form'!I476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22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19</v>
      </c>
      <c r="O183" s="1182"/>
    </row>
    <row r="184" spans="1:15" s="386" customFormat="1" x14ac:dyDescent="0.25">
      <c r="A184" s="379" t="s">
        <v>155</v>
      </c>
      <c r="B184" s="380" t="s">
        <v>626</v>
      </c>
      <c r="C184" s="381">
        <f>'Order form'!P476</f>
        <v>0</v>
      </c>
      <c r="D184" s="381" t="str">
        <f>'Order form'!N474</f>
        <v>F-HTRAINING</v>
      </c>
      <c r="E184" s="381" t="s">
        <v>901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22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19</v>
      </c>
      <c r="O184" s="1182"/>
    </row>
    <row r="185" spans="1:15" s="386" customFormat="1" x14ac:dyDescent="0.25">
      <c r="A185" s="379" t="s">
        <v>153</v>
      </c>
      <c r="B185" s="380" t="s">
        <v>627</v>
      </c>
      <c r="C185" s="381">
        <f>'Order form'!F486</f>
        <v>0</v>
      </c>
      <c r="D185" s="381" t="str">
        <f>'Order form'!D484</f>
        <v>T-REAMER</v>
      </c>
      <c r="E185" s="381" t="s">
        <v>110</v>
      </c>
      <c r="F185" s="382">
        <f>'Order form'!D486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22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19</v>
      </c>
      <c r="O185" s="1182"/>
    </row>
    <row r="186" spans="1:15" s="386" customFormat="1" x14ac:dyDescent="0.25">
      <c r="A186" s="379" t="s">
        <v>153</v>
      </c>
      <c r="B186" s="380" t="s">
        <v>628</v>
      </c>
      <c r="C186" s="381">
        <f>'Order form'!K486</f>
        <v>0</v>
      </c>
      <c r="D186" s="381" t="str">
        <f>'Order form'!I484</f>
        <v>T-DEBURR</v>
      </c>
      <c r="E186" s="381" t="s">
        <v>902</v>
      </c>
      <c r="F186" s="382">
        <f>'Order form'!I486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22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19</v>
      </c>
      <c r="O186" s="1182"/>
    </row>
    <row r="187" spans="1:15" s="386" customFormat="1" x14ac:dyDescent="0.25">
      <c r="A187" s="379" t="s">
        <v>153</v>
      </c>
      <c r="B187" s="380" t="s">
        <v>628</v>
      </c>
      <c r="C187" s="381">
        <f>'Order form'!P486</f>
        <v>0</v>
      </c>
      <c r="D187" s="381" t="str">
        <f>'Order form'!N484</f>
        <v>T-BDEB</v>
      </c>
      <c r="E187" s="381" t="s">
        <v>488</v>
      </c>
      <c r="F187" s="382">
        <f>'Order form'!N486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22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19</v>
      </c>
      <c r="O187" s="398"/>
    </row>
    <row r="188" spans="1:15" s="386" customFormat="1" x14ac:dyDescent="0.25">
      <c r="A188" s="379" t="s">
        <v>153</v>
      </c>
      <c r="B188" s="691" t="s">
        <v>629</v>
      </c>
      <c r="C188" s="381">
        <f>'Order form'!U486</f>
        <v>0</v>
      </c>
      <c r="D188" s="381" t="str">
        <f>'Order form'!S484</f>
        <v>T-SAW</v>
      </c>
      <c r="E188" s="381" t="s">
        <v>903</v>
      </c>
      <c r="F188" s="382">
        <f>'Order form'!S486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22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19</v>
      </c>
      <c r="O188" s="398"/>
    </row>
    <row r="189" spans="1:15" s="386" customFormat="1" x14ac:dyDescent="0.25">
      <c r="A189" s="379" t="s">
        <v>153</v>
      </c>
      <c r="B189" s="380" t="s">
        <v>630</v>
      </c>
      <c r="C189" s="381">
        <f>'Order form'!Z486</f>
        <v>0</v>
      </c>
      <c r="D189" s="381" t="str">
        <f>'Order form'!X484</f>
        <v>T-BSAW</v>
      </c>
      <c r="E189" s="381" t="s">
        <v>904</v>
      </c>
      <c r="F189" s="382">
        <f>'Order form'!X486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22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19</v>
      </c>
      <c r="O189" s="398"/>
    </row>
    <row r="190" spans="1:15" s="386" customFormat="1" x14ac:dyDescent="0.25">
      <c r="A190" s="379" t="s">
        <v>153</v>
      </c>
      <c r="B190" s="380" t="s">
        <v>631</v>
      </c>
      <c r="C190" s="381">
        <f>'Order form'!F496</f>
        <v>0</v>
      </c>
      <c r="D190" s="381" t="str">
        <f>'Order form'!D494</f>
        <v>T-CUTTER</v>
      </c>
      <c r="E190" s="381" t="s">
        <v>905</v>
      </c>
      <c r="F190" s="382">
        <f>'Order form'!D496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22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19</v>
      </c>
      <c r="O190" s="398"/>
    </row>
    <row r="191" spans="1:15" s="386" customFormat="1" x14ac:dyDescent="0.25">
      <c r="A191" s="379" t="s">
        <v>153</v>
      </c>
      <c r="B191" s="380" t="s">
        <v>631</v>
      </c>
      <c r="C191" s="381">
        <f>'Order form'!K496</f>
        <v>0</v>
      </c>
      <c r="D191" s="381" t="str">
        <f>'Order form'!I494</f>
        <v>T-BCUT</v>
      </c>
      <c r="E191" s="381" t="s">
        <v>715</v>
      </c>
      <c r="F191" s="382">
        <f>'Order form'!I496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22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19</v>
      </c>
      <c r="O191" s="398"/>
    </row>
    <row r="192" spans="1:15" s="386" customFormat="1" x14ac:dyDescent="0.25">
      <c r="A192" s="379" t="s">
        <v>153</v>
      </c>
      <c r="B192" s="380" t="s">
        <v>158</v>
      </c>
      <c r="C192" s="381">
        <f>'Order form'!P496</f>
        <v>0</v>
      </c>
      <c r="D192" s="381" t="str">
        <f>'Order form'!N494</f>
        <v>T-HANDLE</v>
      </c>
      <c r="E192" s="381" t="s">
        <v>711</v>
      </c>
      <c r="F192" s="382">
        <f>'Order form'!N496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22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19</v>
      </c>
      <c r="O192" s="399"/>
    </row>
    <row r="193" spans="1:15" s="386" customFormat="1" x14ac:dyDescent="0.25">
      <c r="A193" s="379" t="s">
        <v>153</v>
      </c>
      <c r="B193" s="380" t="s">
        <v>158</v>
      </c>
      <c r="C193" s="381">
        <f>'Order form'!U496</f>
        <v>0</v>
      </c>
      <c r="D193" s="381" t="str">
        <f>'Order form'!S494</f>
        <v>T-BIT</v>
      </c>
      <c r="E193" s="381" t="s">
        <v>906</v>
      </c>
      <c r="F193" s="382">
        <f>'Order form'!S496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22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19</v>
      </c>
      <c r="O193" s="387">
        <f>SUM(G177:G193)</f>
        <v>0</v>
      </c>
    </row>
    <row r="194" spans="1:15" s="386" customFormat="1" x14ac:dyDescent="0.25">
      <c r="A194" s="379" t="s">
        <v>155</v>
      </c>
      <c r="B194" s="650" t="s">
        <v>158</v>
      </c>
      <c r="C194" s="381">
        <f>'Order form'!F508</f>
        <v>0</v>
      </c>
      <c r="D194" s="381" t="str">
        <f>'Order form'!D506</f>
        <v>USM</v>
      </c>
      <c r="E194" s="381" t="s">
        <v>717</v>
      </c>
      <c r="F194" s="382">
        <f>'Order form'!D508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22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19</v>
      </c>
      <c r="O194" s="400"/>
    </row>
    <row r="195" spans="1:15" s="386" customFormat="1" x14ac:dyDescent="0.25">
      <c r="A195" s="379" t="s">
        <v>155</v>
      </c>
      <c r="B195" s="650" t="s">
        <v>158</v>
      </c>
      <c r="C195" s="381">
        <f>'Order form'!K508</f>
        <v>0</v>
      </c>
      <c r="D195" s="381" t="str">
        <f>'Order form'!I506</f>
        <v>LSM</v>
      </c>
      <c r="E195" s="381" t="s">
        <v>718</v>
      </c>
      <c r="F195" s="382">
        <f>'Order form'!I508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22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19</v>
      </c>
      <c r="O195" s="398"/>
    </row>
    <row r="196" spans="1:15" s="386" customFormat="1" x14ac:dyDescent="0.25">
      <c r="A196" s="379" t="s">
        <v>155</v>
      </c>
      <c r="B196" s="380" t="s">
        <v>555</v>
      </c>
      <c r="C196" s="381">
        <f>'Order form'!P508</f>
        <v>0</v>
      </c>
      <c r="D196" s="381" t="str">
        <f>'Order form'!N506</f>
        <v>PI-3/46</v>
      </c>
      <c r="E196" s="381" t="s">
        <v>907</v>
      </c>
      <c r="F196" s="382">
        <f>'Order form'!N508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22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19</v>
      </c>
      <c r="O196" s="398"/>
    </row>
    <row r="197" spans="1:15" s="386" customFormat="1" x14ac:dyDescent="0.25">
      <c r="A197" s="379" t="s">
        <v>153</v>
      </c>
      <c r="B197" s="380" t="s">
        <v>158</v>
      </c>
      <c r="C197" s="381">
        <f>'Order form'!U508</f>
        <v>0</v>
      </c>
      <c r="D197" s="381" t="str">
        <f>'Order form'!S506</f>
        <v>HAN-NIC</v>
      </c>
      <c r="E197" s="381" t="s">
        <v>532</v>
      </c>
      <c r="F197" s="382">
        <f>'Order form'!S508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22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19</v>
      </c>
      <c r="O197" s="398"/>
    </row>
    <row r="198" spans="1:15" s="386" customFormat="1" x14ac:dyDescent="0.25">
      <c r="A198" s="379" t="s">
        <v>153</v>
      </c>
      <c r="B198" s="380" t="s">
        <v>158</v>
      </c>
      <c r="C198" s="381">
        <f>'Order form'!Z508</f>
        <v>0</v>
      </c>
      <c r="D198" s="381" t="str">
        <f>'Order form'!X506</f>
        <v>TT1</v>
      </c>
      <c r="E198" s="381" t="s">
        <v>533</v>
      </c>
      <c r="F198" s="382">
        <f>'Order form'!X508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22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19</v>
      </c>
      <c r="O198" s="398"/>
    </row>
    <row r="199" spans="1:15" s="386" customFormat="1" x14ac:dyDescent="0.25">
      <c r="A199" s="379" t="s">
        <v>154</v>
      </c>
      <c r="B199" s="380" t="s">
        <v>556</v>
      </c>
      <c r="C199" s="381">
        <f>'Order form'!F518</f>
        <v>0</v>
      </c>
      <c r="D199" s="381" t="str">
        <f>'Order form'!D516</f>
        <v>CF-463/4-4lbs</v>
      </c>
      <c r="E199" s="381" t="s">
        <v>924</v>
      </c>
      <c r="F199" s="382">
        <f>'Order form'!D518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22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19</v>
      </c>
      <c r="O199" s="398"/>
    </row>
    <row r="200" spans="1:15" s="386" customFormat="1" x14ac:dyDescent="0.25">
      <c r="A200" s="379" t="s">
        <v>154</v>
      </c>
      <c r="B200" s="380" t="s">
        <v>556</v>
      </c>
      <c r="C200" s="381">
        <f>'Order form'!K518</f>
        <v>0</v>
      </c>
      <c r="D200" s="381" t="str">
        <f>'Order form'!I516</f>
        <v>CF-461/8-4lbs</v>
      </c>
      <c r="E200" s="381" t="s">
        <v>925</v>
      </c>
      <c r="F200" s="382">
        <f>'Order form'!I518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22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19</v>
      </c>
      <c r="O200" s="398"/>
    </row>
    <row r="201" spans="1:15" s="386" customFormat="1" x14ac:dyDescent="0.25">
      <c r="A201" s="379" t="s">
        <v>154</v>
      </c>
      <c r="B201" s="380" t="s">
        <v>556</v>
      </c>
      <c r="C201" s="381">
        <f>'Order form'!P518</f>
        <v>0</v>
      </c>
      <c r="D201" s="381" t="str">
        <f>'Order form'!N516</f>
        <v>EF-491-1,7lbs</v>
      </c>
      <c r="E201" s="381" t="s">
        <v>908</v>
      </c>
      <c r="F201" s="382">
        <f>'Order form'!N518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22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19</v>
      </c>
      <c r="O201" s="398"/>
    </row>
    <row r="202" spans="1:15" s="386" customFormat="1" x14ac:dyDescent="0.25">
      <c r="A202" s="379" t="s">
        <v>155</v>
      </c>
      <c r="B202" s="380" t="s">
        <v>158</v>
      </c>
      <c r="C202" s="381">
        <f>'Order form'!U518</f>
        <v>0</v>
      </c>
      <c r="D202" s="381" t="str">
        <f>'Order form'!S516</f>
        <v>BC-4</v>
      </c>
      <c r="E202" s="381" t="s">
        <v>551</v>
      </c>
      <c r="F202" s="382">
        <f>'Order form'!S518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22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19</v>
      </c>
      <c r="O202" s="398"/>
    </row>
    <row r="203" spans="1:15" s="386" customFormat="1" x14ac:dyDescent="0.25">
      <c r="A203" s="379" t="s">
        <v>155</v>
      </c>
      <c r="B203" s="380" t="s">
        <v>158</v>
      </c>
      <c r="C203" s="381">
        <f>'Order form'!Z518</f>
        <v>0</v>
      </c>
      <c r="D203" s="381" t="str">
        <f>'Order form'!X516</f>
        <v>BC-6</v>
      </c>
      <c r="E203" s="381" t="s">
        <v>550</v>
      </c>
      <c r="F203" s="382">
        <f>'Order form'!X518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22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19</v>
      </c>
      <c r="O203" s="398"/>
    </row>
    <row r="204" spans="1:15" s="386" customFormat="1" x14ac:dyDescent="0.25">
      <c r="A204" s="379" t="s">
        <v>155</v>
      </c>
      <c r="B204" s="380" t="s">
        <v>557</v>
      </c>
      <c r="C204" s="381">
        <f>'Order form'!F528</f>
        <v>0</v>
      </c>
      <c r="D204" s="381" t="str">
        <f>'Order form'!D526</f>
        <v>G-201</v>
      </c>
      <c r="E204" s="381" t="s">
        <v>909</v>
      </c>
      <c r="F204" s="382">
        <f>'Order form'!D528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22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19</v>
      </c>
      <c r="O204" s="398"/>
    </row>
    <row r="205" spans="1:15" s="386" customFormat="1" x14ac:dyDescent="0.25">
      <c r="A205" s="379" t="s">
        <v>155</v>
      </c>
      <c r="B205" s="380" t="s">
        <v>557</v>
      </c>
      <c r="C205" s="381">
        <f>'Order form'!K528</f>
        <v>0</v>
      </c>
      <c r="D205" s="381" t="str">
        <f>'Order form'!I526</f>
        <v>G-203</v>
      </c>
      <c r="E205" s="381" t="s">
        <v>910</v>
      </c>
      <c r="F205" s="382">
        <f>'Order form'!I528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22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19</v>
      </c>
      <c r="O205" s="398"/>
    </row>
    <row r="206" spans="1:15" s="386" customFormat="1" x14ac:dyDescent="0.25">
      <c r="A206" s="379" t="s">
        <v>155</v>
      </c>
      <c r="B206" s="380" t="s">
        <v>557</v>
      </c>
      <c r="C206" s="381">
        <f>'Order form'!P528</f>
        <v>0</v>
      </c>
      <c r="D206" s="381" t="str">
        <f>'Order form'!N526</f>
        <v>G-204</v>
      </c>
      <c r="E206" s="381" t="s">
        <v>911</v>
      </c>
      <c r="F206" s="382">
        <f>'Order form'!N528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22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19</v>
      </c>
      <c r="O206" s="399"/>
    </row>
    <row r="207" spans="1:15" s="386" customFormat="1" x14ac:dyDescent="0.25">
      <c r="A207" s="379" t="s">
        <v>155</v>
      </c>
      <c r="B207" s="380" t="s">
        <v>557</v>
      </c>
      <c r="C207" s="381">
        <f>'Order form'!U528</f>
        <v>0</v>
      </c>
      <c r="D207" s="381" t="str">
        <f>'Order form'!S526</f>
        <v>G-206</v>
      </c>
      <c r="E207" s="381" t="s">
        <v>926</v>
      </c>
      <c r="F207" s="382">
        <f>'Order form'!S528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22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19</v>
      </c>
      <c r="O207" s="387"/>
    </row>
    <row r="208" spans="1:15" s="386" customFormat="1" x14ac:dyDescent="0.25">
      <c r="A208" s="379" t="s">
        <v>155</v>
      </c>
      <c r="B208" s="380" t="s">
        <v>557</v>
      </c>
      <c r="C208" s="381">
        <f>'Order form'!Z528</f>
        <v>0</v>
      </c>
      <c r="D208" s="381" t="str">
        <f>'Order form'!X526</f>
        <v>G-208</v>
      </c>
      <c r="E208" s="381" t="s">
        <v>927</v>
      </c>
      <c r="F208" s="382">
        <f>'Order form'!X528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22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19</v>
      </c>
      <c r="O208" s="387">
        <f>SUM(G184:G208)</f>
        <v>0</v>
      </c>
    </row>
    <row r="209" spans="1:16" x14ac:dyDescent="0.25">
      <c r="A209" s="221"/>
      <c r="B209" s="222"/>
      <c r="C209" s="223">
        <f>IF('Order form'!Y548&gt;0,1,0)</f>
        <v>0</v>
      </c>
      <c r="D209" s="223"/>
      <c r="E209" s="680" t="str">
        <f>'Order form'!S548</f>
        <v>OTHER MATERIAL:</v>
      </c>
      <c r="F209" s="217">
        <f>'Order form'!Y548</f>
        <v>0</v>
      </c>
      <c r="G209" s="224">
        <f>F209</f>
        <v>0</v>
      </c>
      <c r="H209" s="218">
        <f>'Order form'!AC548</f>
        <v>0</v>
      </c>
      <c r="I209" s="218">
        <f>H209</f>
        <v>0</v>
      </c>
      <c r="J209" s="225"/>
      <c r="K209" s="225"/>
      <c r="L209" s="225"/>
      <c r="M209" s="226"/>
      <c r="N209" s="680">
        <f t="shared" si="26"/>
        <v>19</v>
      </c>
      <c r="O209" s="220"/>
      <c r="P209" s="207" t="s">
        <v>410</v>
      </c>
    </row>
    <row r="210" spans="1:16" x14ac:dyDescent="0.25">
      <c r="A210" s="221"/>
      <c r="B210" s="222"/>
      <c r="C210" s="223">
        <f>IF('Order form'!Y549&gt;0,1,0)</f>
        <v>0</v>
      </c>
      <c r="D210" s="223"/>
      <c r="E210" s="680" t="str">
        <f>'Order form'!S549</f>
        <v>OTHER MATERIAL:</v>
      </c>
      <c r="F210" s="217">
        <f>'Order form'!Y549</f>
        <v>0</v>
      </c>
      <c r="G210" s="224">
        <f>F210</f>
        <v>0</v>
      </c>
      <c r="H210" s="218">
        <f>'Order form'!AC549</f>
        <v>0</v>
      </c>
      <c r="I210" s="218">
        <f>H210</f>
        <v>0</v>
      </c>
      <c r="J210" s="225"/>
      <c r="K210" s="225"/>
      <c r="L210" s="225"/>
      <c r="M210" s="226"/>
      <c r="N210" s="680">
        <f t="shared" si="26"/>
        <v>19</v>
      </c>
      <c r="O210" s="220"/>
      <c r="P210" s="207" t="s">
        <v>410</v>
      </c>
    </row>
    <row r="211" spans="1:16" s="232" customFormat="1" x14ac:dyDescent="0.25">
      <c r="A211" s="227"/>
      <c r="B211" s="227"/>
      <c r="C211" s="223">
        <f>IF('Order form'!Y551&gt;0,1,0)</f>
        <v>0</v>
      </c>
      <c r="D211" s="223"/>
      <c r="E211" s="223" t="str">
        <f>'Order form'!S551</f>
        <v>PREPARATION CHARGE:</v>
      </c>
      <c r="F211" s="228">
        <f>'Order form'!Y551</f>
        <v>0</v>
      </c>
      <c r="G211" s="224">
        <f t="shared" ref="G211:G213" si="30">F211*C211</f>
        <v>0</v>
      </c>
      <c r="H211" s="229"/>
      <c r="I211" s="223">
        <v>0</v>
      </c>
      <c r="J211" s="223"/>
      <c r="K211" s="223"/>
      <c r="L211" s="223"/>
      <c r="M211" s="230"/>
      <c r="N211" s="680">
        <f t="shared" si="26"/>
        <v>19</v>
      </c>
      <c r="O211" s="231"/>
      <c r="P211" s="207" t="s">
        <v>409</v>
      </c>
    </row>
    <row r="212" spans="1:16" s="232" customFormat="1" x14ac:dyDescent="0.25">
      <c r="A212" s="227"/>
      <c r="B212" s="227"/>
      <c r="C212" s="223">
        <f>IF('Order form'!Y552&gt;0,1,0)</f>
        <v>0</v>
      </c>
      <c r="D212" s="223"/>
      <c r="E212" s="223" t="str">
        <f>'Order form'!S552</f>
        <v>CUTTING CHARGE:</v>
      </c>
      <c r="F212" s="228">
        <f>'Order form'!Y552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80">
        <f t="shared" si="26"/>
        <v>19</v>
      </c>
      <c r="O212" s="231"/>
      <c r="P212" s="207" t="s">
        <v>409</v>
      </c>
    </row>
    <row r="213" spans="1:16" s="232" customFormat="1" x14ac:dyDescent="0.25">
      <c r="A213" s="227"/>
      <c r="B213" s="227"/>
      <c r="C213" s="223">
        <f>IF('Order form'!Y553&gt;0,1,0)</f>
        <v>0</v>
      </c>
      <c r="D213" s="223"/>
      <c r="E213" s="223" t="str">
        <f>'Order form'!S553</f>
        <v>SHIPPING CHARGE:</v>
      </c>
      <c r="F213" s="228">
        <f>'Order form'!Y553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80">
        <f t="shared" si="26"/>
        <v>19</v>
      </c>
      <c r="O213" s="231"/>
      <c r="P213" s="207" t="s">
        <v>409</v>
      </c>
    </row>
    <row r="214" spans="1:16" ht="6" customHeight="1" x14ac:dyDescent="0.25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8" x14ac:dyDescent="0.35">
      <c r="A215" s="235"/>
      <c r="B215" s="235"/>
      <c r="C215" s="235"/>
      <c r="D215" s="235" t="s">
        <v>7</v>
      </c>
      <c r="E215" s="235"/>
      <c r="F215" s="236"/>
      <c r="G215" s="236">
        <f>SUM(G2:G213)</f>
        <v>515.09</v>
      </c>
      <c r="H215" s="237"/>
      <c r="I215" s="235">
        <f>SUM(I4:I213)</f>
        <v>141.04419999999999</v>
      </c>
      <c r="J215" s="235"/>
      <c r="K215" s="235"/>
      <c r="L215" s="235"/>
      <c r="M215" s="238"/>
      <c r="N215" s="235"/>
      <c r="O215" s="235"/>
    </row>
    <row r="216" spans="1:16" x14ac:dyDescent="0.25">
      <c r="F216" s="207"/>
      <c r="G216" s="207"/>
      <c r="H216" s="1184" t="s">
        <v>102</v>
      </c>
      <c r="I216" s="1184"/>
      <c r="J216" s="1184"/>
      <c r="K216" s="1184"/>
      <c r="L216" s="207">
        <f>ROUNDUP(L4+L5+L6+L7+L8+L9+L10+L11+L12+L13+L21+L22,0)</f>
        <v>2</v>
      </c>
    </row>
    <row r="217" spans="1:16" x14ac:dyDescent="0.25">
      <c r="F217" s="207"/>
      <c r="G217" s="207"/>
      <c r="H217" s="1185" t="s">
        <v>392</v>
      </c>
      <c r="I217" s="1185"/>
      <c r="J217" s="1185"/>
      <c r="K217" s="1185"/>
      <c r="L217" s="207">
        <f>ROUNDUP(SUM(L14:L20)+SUM(L23:L44)+SUM(L63:L82)+SUM(L101:L139)+SUM(L146:L164)+SUM(L165:L176)+SUM(L185:L193),0)</f>
        <v>7</v>
      </c>
    </row>
    <row r="218" spans="1:16" x14ac:dyDescent="0.25">
      <c r="F218" s="207"/>
      <c r="G218" s="207"/>
      <c r="H218" s="1185" t="s">
        <v>632</v>
      </c>
      <c r="I218" s="1185"/>
      <c r="J218" s="1185"/>
      <c r="K218" s="1185"/>
      <c r="L218" s="207">
        <f>ROUNDUP(SUM(L140:L145)+SUM(L177:L181),0)</f>
        <v>0</v>
      </c>
    </row>
    <row r="219" spans="1:16" x14ac:dyDescent="0.25">
      <c r="F219" s="207"/>
      <c r="G219" s="207"/>
      <c r="H219" s="1185"/>
      <c r="I219" s="1185"/>
      <c r="J219" s="1185"/>
      <c r="K219" s="1185"/>
    </row>
    <row r="220" spans="1:16" x14ac:dyDescent="0.25">
      <c r="C220" s="225" t="str">
        <f>Quotation!B60</f>
        <v>TRANSPORT SHOULD BE DONE BY:</v>
      </c>
      <c r="D220" s="227" t="s">
        <v>31</v>
      </c>
      <c r="E220" s="227">
        <f>Quotation!D60</f>
        <v>141.04419999999999</v>
      </c>
      <c r="F220" s="240">
        <v>0</v>
      </c>
      <c r="G220" s="241">
        <v>0</v>
      </c>
      <c r="H220" s="242"/>
      <c r="I220" s="243"/>
      <c r="J220" s="243"/>
      <c r="K220" s="243"/>
    </row>
    <row r="221" spans="1:16" x14ac:dyDescent="0.25">
      <c r="C221" s="244" t="s">
        <v>104</v>
      </c>
      <c r="D221" s="245">
        <f>IF(I215&lt;150,L216,0)</f>
        <v>2</v>
      </c>
      <c r="E221" s="245" t="s">
        <v>393</v>
      </c>
      <c r="F221" s="246">
        <f>IF(D221=0,H220,H220+1)</f>
        <v>1</v>
      </c>
      <c r="G221" s="247">
        <f>IF(F221=0,G220,G220+1)</f>
        <v>1</v>
      </c>
      <c r="H221" s="248"/>
    </row>
    <row r="222" spans="1:16" x14ac:dyDescent="0.25">
      <c r="C222" s="244"/>
      <c r="D222" s="245">
        <f>IF(I215&lt;150,L217,0)</f>
        <v>7</v>
      </c>
      <c r="E222" s="245" t="s">
        <v>391</v>
      </c>
      <c r="F222" s="246">
        <f>IF(D222=0,H221,H221+1)</f>
        <v>1</v>
      </c>
      <c r="G222" s="247">
        <f t="shared" ref="G222:G226" si="31">IF(F222=0,G221,G221+1)</f>
        <v>2</v>
      </c>
      <c r="H222" s="248"/>
    </row>
    <row r="223" spans="1:16" x14ac:dyDescent="0.25">
      <c r="C223" s="244"/>
      <c r="D223" s="245">
        <f>IF(I215&lt;150,L218,0)</f>
        <v>0</v>
      </c>
      <c r="E223" s="245" t="s">
        <v>390</v>
      </c>
      <c r="F223" s="246">
        <f>IF(D223=0,H222,H222+1)</f>
        <v>0</v>
      </c>
      <c r="G223" s="247">
        <f t="shared" si="31"/>
        <v>2</v>
      </c>
      <c r="H223" s="248"/>
    </row>
    <row r="224" spans="1:16" x14ac:dyDescent="0.25">
      <c r="C224" s="1173" t="s">
        <v>105</v>
      </c>
      <c r="D224" s="249">
        <f>IF(I215&gt;150,IF((L216+L218)&gt;0,IF(I215&gt;1500,2,1),0),0)</f>
        <v>0</v>
      </c>
      <c r="E224" s="249" t="s">
        <v>522</v>
      </c>
      <c r="F224" s="250">
        <f>IF(D224=0,H223,H223+1)+L182</f>
        <v>0</v>
      </c>
      <c r="G224" s="251">
        <f t="shared" si="31"/>
        <v>2</v>
      </c>
      <c r="H224" s="248"/>
      <c r="I224" s="214"/>
    </row>
    <row r="225" spans="3:9" x14ac:dyDescent="0.25">
      <c r="C225" s="1174"/>
      <c r="D225" s="249">
        <f>IF((L216+L218)=0,IF(I215&gt;150,IF(I215&gt;1500,2,1),0),0)</f>
        <v>0</v>
      </c>
      <c r="E225" s="249" t="s">
        <v>521</v>
      </c>
      <c r="F225" s="250">
        <f>IF(D225=0,H224,H224+1)</f>
        <v>0</v>
      </c>
      <c r="G225" s="251">
        <f t="shared" si="31"/>
        <v>2</v>
      </c>
      <c r="H225" s="248"/>
      <c r="I225" s="214"/>
    </row>
    <row r="226" spans="3:9" x14ac:dyDescent="0.25">
      <c r="C226" s="1175"/>
      <c r="D226" s="249"/>
      <c r="E226" s="249"/>
      <c r="F226" s="252"/>
      <c r="G226" s="251">
        <f t="shared" si="31"/>
        <v>2</v>
      </c>
      <c r="H226" s="248"/>
    </row>
    <row r="227" spans="3:9" x14ac:dyDescent="0.25">
      <c r="D227" s="207">
        <f>SUM(D221:D225)</f>
        <v>9</v>
      </c>
    </row>
    <row r="228" spans="3:9" x14ac:dyDescent="0.25">
      <c r="E228" s="214" t="s">
        <v>633</v>
      </c>
    </row>
    <row r="229" spans="3:9" x14ac:dyDescent="0.25">
      <c r="E229" s="214" t="s">
        <v>394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21:I164 B166:E172 C183:N210 B165:N165 B173:M182 B4:N120 F167:M172 F166:N166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09" t="s">
        <v>478</v>
      </c>
      <c r="C1" s="1210"/>
      <c r="D1" s="1213"/>
      <c r="E1" s="1214"/>
      <c r="F1" s="1217"/>
      <c r="G1" s="1219" t="s">
        <v>115</v>
      </c>
      <c r="H1" s="1220"/>
      <c r="I1" s="1220"/>
      <c r="J1" s="1221"/>
    </row>
    <row r="2" spans="1:15" ht="4.3499999999999996" customHeight="1" thickBot="1" x14ac:dyDescent="0.25">
      <c r="A2" s="1"/>
      <c r="B2" s="1211"/>
      <c r="C2" s="1212"/>
      <c r="D2" s="1215"/>
      <c r="E2" s="1216"/>
      <c r="F2" s="1218"/>
      <c r="G2" s="1222"/>
      <c r="H2" s="1223"/>
      <c r="I2" s="1223"/>
      <c r="J2" s="1224"/>
      <c r="L2" s="11"/>
    </row>
    <row r="3" spans="1:15" ht="12.75" customHeight="1" x14ac:dyDescent="0.25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121</v>
      </c>
      <c r="C9" s="71"/>
      <c r="D9" s="71"/>
      <c r="E9" s="118"/>
      <c r="F9" s="122"/>
      <c r="G9" s="121" t="s">
        <v>320</v>
      </c>
      <c r="H9" s="113" t="s">
        <v>122</v>
      </c>
      <c r="I9" s="1225"/>
      <c r="J9" s="1226"/>
      <c r="L9" s="1"/>
      <c r="O9" s="6"/>
    </row>
    <row r="10" spans="1:15" ht="13.8" thickBot="1" x14ac:dyDescent="0.3">
      <c r="A10" s="1"/>
      <c r="B10" s="84">
        <f>'Order form'!H542</f>
        <v>0</v>
      </c>
      <c r="C10" s="85"/>
      <c r="D10" s="96"/>
      <c r="E10" s="119"/>
      <c r="F10" s="124"/>
      <c r="G10" s="79" t="s">
        <v>428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8" thickBot="1" x14ac:dyDescent="0.3">
      <c r="A13" s="1"/>
      <c r="B13" s="1227" t="s">
        <v>125</v>
      </c>
      <c r="C13" s="1228"/>
      <c r="D13" s="1229"/>
      <c r="E13" s="1229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33" t="str">
        <f>'Order form'!H545</f>
        <v>Please write you account number if collect</v>
      </c>
      <c r="I20" s="1233"/>
      <c r="J20" s="1234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160</v>
      </c>
      <c r="H21" s="1235" t="str">
        <f>Quotation!D61</f>
        <v>Packs of tube 96'' X 5'' X 5'' (H)</v>
      </c>
      <c r="I21" s="1235"/>
      <c r="J21" s="1236"/>
      <c r="L21" s="1"/>
      <c r="M21" s="1"/>
      <c r="N21" s="1"/>
      <c r="O21" s="7"/>
    </row>
    <row r="22" spans="1:33" ht="12.75" customHeight="1" thickBot="1" x14ac:dyDescent="0.3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37" t="e">
        <f>Resume!#REF!</f>
        <v>#REF!</v>
      </c>
      <c r="I22" s="1237"/>
      <c r="J22" s="1238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230"/>
      <c r="I23" s="1230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31" t="str">
        <f>VLOOKUP(G1,E99:Z101,14)</f>
        <v>DESCRIPTION</v>
      </c>
      <c r="H25" s="1232"/>
      <c r="I25" s="183" t="str">
        <f>VLOOKUP(G1,E99:AB101,15)</f>
        <v>UNIT PRICE</v>
      </c>
      <c r="J25" s="183" t="s">
        <v>60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07"/>
      <c r="H26" s="1208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07"/>
      <c r="H27" s="1208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IFERROR(INDEX(Resume!$A$3:$F$210,MATCH(ROW($B1),Resume!$N$3:$N$210,0),MATCH('Commercial Invoice'!C$25,Resume!$A$2:$F$2,0)),"")</f>
        <v>CHINA</v>
      </c>
      <c r="D28" s="181" t="str">
        <f>IFERROR(INDEX(Resume!$A$3:$F$210,MATCH(ROW($B1),Resume!$N$3:$N$210,0),MATCH('Commercial Invoice'!D$25,Resume!$A$2:$F$2,0)),"")</f>
        <v/>
      </c>
      <c r="E28" s="181">
        <f>IFERROR(INDEX(Resume!$A$3:$F$210,MATCH(ROW($B1),Resume!$N$3:$N$210,0),MATCH('Commercial Invoice'!E$25,Resume!$A$2:$F$2,0)),"")</f>
        <v>16</v>
      </c>
      <c r="F28" s="181" t="str">
        <f>IFERROR(INDEX(Resume!$A$3:$F$210,MATCH(ROW($B1),Resume!$N$3:$N$210,0),MATCH('Commercial Invoice'!F$25,Resume!$A$2:$F$2,0)),"")</f>
        <v>P-96-BL</v>
      </c>
      <c r="G28" s="1197" t="str">
        <f>IFERROR(INDEX(Resume!$A$3:$F$210,MATCH(ROW($B1),Resume!$N$3:$N$210,0),MATCH('Commercial Invoice'!G$25,Resume!$A$2:$F$2,0)),"")</f>
        <v>Blue 8' steel pipe PE coated</v>
      </c>
      <c r="H28" s="1198"/>
      <c r="I28" s="182">
        <f>IFERROR(INDEX(Resume!$A$3:$F$210,MATCH(ROW($B1),Resume!$N$3:$N$210,0),MATCH('Commercial Invoice'!I$25,Resume!$A$2:$F$2,0)),"")</f>
        <v>7.95</v>
      </c>
      <c r="J28" s="180">
        <f t="shared" ref="J28:J60" si="0">IFERROR(I28*E28,"")</f>
        <v>127.2</v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IFERROR(INDEX(Resume!$A$3:$F$210,MATCH(ROW($B2),Resume!$N$3:$N$210,0),MATCH('Commercial Invoice'!C$25,Resume!$A$2:$F$2,0)),"")</f>
        <v>CHINA</v>
      </c>
      <c r="D29" s="181" t="str">
        <f>IFERROR(INDEX(Resume!$A$3:$F$210,MATCH(ROW($B2),Resume!$N$3:$N$210,0),MATCH('Commercial Invoice'!D$25,Resume!$A$2:$F$2,0)),"")</f>
        <v/>
      </c>
      <c r="E29" s="181">
        <f>IFERROR(INDEX(Resume!$A$3:$F$210,MATCH(ROW($B2),Resume!$N$3:$N$210,0),MATCH('Commercial Invoice'!E$25,Resume!$A$2:$F$2,0)),"")</f>
        <v>225</v>
      </c>
      <c r="F29" s="181" t="str">
        <f>IFERROR(INDEX(Resume!$A$3:$F$210,MATCH(ROW($B2),Resume!$N$3:$N$210,0),MATCH('Commercial Invoice'!F$25,Resume!$A$2:$F$2,0)),"")</f>
        <v>H-1</v>
      </c>
      <c r="G29" s="1197" t="str">
        <f>IFERROR(INDEX(Resume!$A$3:$F$210,MATCH(ROW($B2),Resume!$N$3:$N$210,0),MATCH('Commercial Invoice'!G$25,Resume!$A$2:$F$2,0)),"")</f>
        <v>Standard tee joint steel black</v>
      </c>
      <c r="H29" s="1198"/>
      <c r="I29" s="182">
        <f>IFERROR(INDEX(Resume!$A$3:$F$210,MATCH(ROW($B2),Resume!$N$3:$N$210,0),MATCH('Commercial Invoice'!I$25,Resume!$A$2:$F$2,0)),"")</f>
        <v>0.55000000000000004</v>
      </c>
      <c r="J29" s="180">
        <f t="shared" si="0"/>
        <v>123.75000000000001</v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IFERROR(INDEX(Resume!$A$3:$F$210,MATCH(ROW($B3),Resume!$N$3:$N$210,0),MATCH('Commercial Invoice'!C$25,Resume!$A$2:$F$2,0)),"")</f>
        <v>CHINA</v>
      </c>
      <c r="D30" s="181" t="str">
        <f>IFERROR(INDEX(Resume!$A$3:$F$210,MATCH(ROW($B3),Resume!$N$3:$N$210,0),MATCH('Commercial Invoice'!D$25,Resume!$A$2:$F$2,0)),"")</f>
        <v/>
      </c>
      <c r="E30" s="181">
        <f>IFERROR(INDEX(Resume!$A$3:$F$210,MATCH(ROW($B3),Resume!$N$3:$N$210,0),MATCH('Commercial Invoice'!E$25,Resume!$A$2:$F$2,0)),"")</f>
        <v>50</v>
      </c>
      <c r="F30" s="181" t="str">
        <f>IFERROR(INDEX(Resume!$A$3:$F$210,MATCH(ROW($B3),Resume!$N$3:$N$210,0),MATCH('Commercial Invoice'!F$25,Resume!$A$2:$F$2,0)),"")</f>
        <v>H-2</v>
      </c>
      <c r="G30" s="1197" t="str">
        <f>IFERROR(INDEX(Resume!$A$3:$F$210,MATCH(ROW($B3),Resume!$N$3:$N$210,0),MATCH('Commercial Invoice'!G$25,Resume!$A$2:$F$2,0)),"")</f>
        <v>Inner corner joint steel black</v>
      </c>
      <c r="H30" s="1198"/>
      <c r="I30" s="182">
        <f>IFERROR(INDEX(Resume!$A$3:$F$210,MATCH(ROW($B3),Resume!$N$3:$N$210,0),MATCH('Commercial Invoice'!I$25,Resume!$A$2:$F$2,0)),"")</f>
        <v>0.9</v>
      </c>
      <c r="J30" s="180">
        <f t="shared" si="0"/>
        <v>45</v>
      </c>
      <c r="L30" s="13"/>
    </row>
    <row r="31" spans="1:33" ht="13.2" customHeight="1" x14ac:dyDescent="0.2">
      <c r="A31" s="1"/>
      <c r="B31" s="1"/>
      <c r="C31" s="10" t="str">
        <f>IFERROR(INDEX(Resume!$A$3:$F$210,MATCH(ROW($B4),Resume!$N$3:$N$210,0),MATCH('Commercial Invoice'!C$25,Resume!$A$2:$F$2,0)),"")</f>
        <v>CHINA</v>
      </c>
      <c r="D31" s="181" t="str">
        <f>IFERROR(INDEX(Resume!$A$3:$F$210,MATCH(ROW($B4),Resume!$N$3:$N$210,0),MATCH('Commercial Invoice'!D$25,Resume!$A$2:$F$2,0)),"")</f>
        <v/>
      </c>
      <c r="E31" s="181">
        <f>IFERROR(INDEX(Resume!$A$3:$F$210,MATCH(ROW($B4),Resume!$N$3:$N$210,0),MATCH('Commercial Invoice'!E$25,Resume!$A$2:$F$2,0)),"")</f>
        <v>50</v>
      </c>
      <c r="F31" s="181" t="str">
        <f>IFERROR(INDEX(Resume!$A$3:$F$210,MATCH(ROW($B4),Resume!$N$3:$N$210,0),MATCH('Commercial Invoice'!F$25,Resume!$A$2:$F$2,0)),"")</f>
        <v>H-3</v>
      </c>
      <c r="G31" s="1197" t="str">
        <f>IFERROR(INDEX(Resume!$A$3:$F$210,MATCH(ROW($B4),Resume!$N$3:$N$210,0),MATCH('Commercial Invoice'!G$25,Resume!$A$2:$F$2,0)),"")</f>
        <v>Outer corner joint steel black</v>
      </c>
      <c r="H31" s="1198"/>
      <c r="I31" s="182">
        <f>IFERROR(INDEX(Resume!$A$3:$F$210,MATCH(ROW($B4),Resume!$N$3:$N$210,0),MATCH('Commercial Invoice'!I$25,Resume!$A$2:$F$2,0)),"")</f>
        <v>0.95</v>
      </c>
      <c r="J31" s="180">
        <f t="shared" si="0"/>
        <v>47.5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IFERROR(INDEX(Resume!$A$3:$F$210,MATCH(ROW($B5),Resume!$N$3:$N$210,0),MATCH('Commercial Invoice'!C$25,Resume!$A$2:$F$2,0)),"")</f>
        <v>CHINA</v>
      </c>
      <c r="D32" s="181" t="str">
        <f>IFERROR(INDEX(Resume!$A$3:$F$210,MATCH(ROW($B5),Resume!$N$3:$N$210,0),MATCH('Commercial Invoice'!D$25,Resume!$A$2:$F$2,0)),"")</f>
        <v/>
      </c>
      <c r="E32" s="181">
        <f>IFERROR(INDEX(Resume!$A$3:$F$210,MATCH(ROW($B5),Resume!$N$3:$N$210,0),MATCH('Commercial Invoice'!E$25,Resume!$A$2:$F$2,0)),"")</f>
        <v>8</v>
      </c>
      <c r="F32" s="181" t="str">
        <f>IFERROR(INDEX(Resume!$A$3:$F$210,MATCH(ROW($B5),Resume!$N$3:$N$210,0),MATCH('Commercial Invoice'!F$25,Resume!$A$2:$F$2,0)),"")</f>
        <v>H-4</v>
      </c>
      <c r="G32" s="1197" t="str">
        <f>IFERROR(INDEX(Resume!$A$3:$F$210,MATCH(ROW($B5),Resume!$N$3:$N$210,0),MATCH('Commercial Invoice'!G$25,Resume!$A$2:$F$2,0)),"")</f>
        <v>Cross junction joint steel black</v>
      </c>
      <c r="H32" s="1198"/>
      <c r="I32" s="182">
        <f>IFERROR(INDEX(Resume!$A$3:$F$210,MATCH(ROW($B5),Resume!$N$3:$N$210,0),MATCH('Commercial Invoice'!I$25,Resume!$A$2:$F$2,0)),"")</f>
        <v>0.85</v>
      </c>
      <c r="J32" s="180">
        <f t="shared" si="0"/>
        <v>6.8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IFERROR(INDEX(Resume!$A$3:$F$210,MATCH(ROW($B6),Resume!$N$3:$N$210,0),MATCH('Commercial Invoice'!C$25,Resume!$A$2:$F$2,0)),"")</f>
        <v>CHINA</v>
      </c>
      <c r="D33" s="181" t="str">
        <f>IFERROR(INDEX(Resume!$A$3:$F$210,MATCH(ROW($B6),Resume!$N$3:$N$210,0),MATCH('Commercial Invoice'!D$25,Resume!$A$2:$F$2,0)),"")</f>
        <v/>
      </c>
      <c r="E33" s="181">
        <f>IFERROR(INDEX(Resume!$A$3:$F$210,MATCH(ROW($B6),Resume!$N$3:$N$210,0),MATCH('Commercial Invoice'!E$25,Resume!$A$2:$F$2,0)),"")</f>
        <v>10</v>
      </c>
      <c r="F33" s="181" t="str">
        <f>IFERROR(INDEX(Resume!$A$3:$F$210,MATCH(ROW($B6),Resume!$N$3:$N$210,0),MATCH('Commercial Invoice'!F$25,Resume!$A$2:$F$2,0)),"")</f>
        <v>H-5</v>
      </c>
      <c r="G33" s="1197" t="str">
        <f>IFERROR(INDEX(Resume!$A$3:$F$210,MATCH(ROW($B6),Resume!$N$3:$N$210,0),MATCH('Commercial Invoice'!G$25,Resume!$A$2:$F$2,0)),"")</f>
        <v>Pivot point joint steel black</v>
      </c>
      <c r="H33" s="1198"/>
      <c r="I33" s="182">
        <f>IFERROR(INDEX(Resume!$A$3:$F$210,MATCH(ROW($B6),Resume!$N$3:$N$210,0),MATCH('Commercial Invoice'!I$25,Resume!$A$2:$F$2,0)),"")</f>
        <v>0.55000000000000004</v>
      </c>
      <c r="J33" s="180">
        <f t="shared" si="0"/>
        <v>5.5</v>
      </c>
    </row>
    <row r="34" spans="1:12" ht="13.2" customHeight="1" x14ac:dyDescent="0.2">
      <c r="A34" s="1"/>
      <c r="B34" s="1"/>
      <c r="C34" s="10" t="str">
        <f>IFERROR(INDEX(Resume!$A$3:$F$210,MATCH(ROW($B7),Resume!$N$3:$N$210,0),MATCH('Commercial Invoice'!C$25,Resume!$A$2:$F$2,0)),"")</f>
        <v>CHINA</v>
      </c>
      <c r="D34" s="181" t="str">
        <f>IFERROR(INDEX(Resume!$A$3:$F$210,MATCH(ROW($B7),Resume!$N$3:$N$210,0),MATCH('Commercial Invoice'!D$25,Resume!$A$2:$F$2,0)),"")</f>
        <v/>
      </c>
      <c r="E34" s="181">
        <f>IFERROR(INDEX(Resume!$A$3:$F$210,MATCH(ROW($B7),Resume!$N$3:$N$210,0),MATCH('Commercial Invoice'!E$25,Resume!$A$2:$F$2,0)),"")</f>
        <v>10</v>
      </c>
      <c r="F34" s="181" t="str">
        <f>IFERROR(INDEX(Resume!$A$3:$F$210,MATCH(ROW($B7),Resume!$N$3:$N$210,0),MATCH('Commercial Invoice'!F$25,Resume!$A$2:$F$2,0)),"")</f>
        <v>H-6</v>
      </c>
      <c r="G34" s="1197" t="str">
        <f>IFERROR(INDEX(Resume!$A$3:$F$210,MATCH(ROW($B7),Resume!$N$3:$N$210,0),MATCH('Commercial Invoice'!G$25,Resume!$A$2:$F$2,0)),"")</f>
        <v>Pivot extension steel black</v>
      </c>
      <c r="H34" s="1198"/>
      <c r="I34" s="182">
        <f>IFERROR(INDEX(Resume!$A$3:$F$210,MATCH(ROW($B7),Resume!$N$3:$N$210,0),MATCH('Commercial Invoice'!I$25,Resume!$A$2:$F$2,0)),"")</f>
        <v>0.55000000000000004</v>
      </c>
      <c r="J34" s="180">
        <f t="shared" si="0"/>
        <v>5.5</v>
      </c>
      <c r="L34" s="13"/>
    </row>
    <row r="35" spans="1:12" s="23" customFormat="1" ht="13.2" customHeight="1" x14ac:dyDescent="0.2">
      <c r="A35" s="3"/>
      <c r="B35" s="3"/>
      <c r="C35" s="10" t="str">
        <f>IFERROR(INDEX(Resume!$A$3:$F$210,MATCH(ROW($B8),Resume!$N$3:$N$210,0),MATCH('Commercial Invoice'!C$25,Resume!$A$2:$F$2,0)),"")</f>
        <v>CHINA</v>
      </c>
      <c r="D35" s="181" t="str">
        <f>IFERROR(INDEX(Resume!$A$3:$F$210,MATCH(ROW($B8),Resume!$N$3:$N$210,0),MATCH('Commercial Invoice'!D$25,Resume!$A$2:$F$2,0)),"")</f>
        <v/>
      </c>
      <c r="E35" s="181">
        <f>IFERROR(INDEX(Resume!$A$3:$F$210,MATCH(ROW($B8),Resume!$N$3:$N$210,0),MATCH('Commercial Invoice'!E$25,Resume!$A$2:$F$2,0)),"")</f>
        <v>20</v>
      </c>
      <c r="F35" s="181" t="str">
        <f>IFERROR(INDEX(Resume!$A$3:$F$210,MATCH(ROW($B8),Resume!$N$3:$N$210,0),MATCH('Commercial Invoice'!F$25,Resume!$A$2:$F$2,0)),"")</f>
        <v>H-7</v>
      </c>
      <c r="G35" s="1197" t="str">
        <f>IFERROR(INDEX(Resume!$A$3:$F$210,MATCH(ROW($B8),Resume!$N$3:$N$210,0),MATCH('Commercial Invoice'!G$25,Resume!$A$2:$F$2,0)),"")</f>
        <v>Intersection joint steel black</v>
      </c>
      <c r="H35" s="1198"/>
      <c r="I35" s="182">
        <f>IFERROR(INDEX(Resume!$A$3:$F$210,MATCH(ROW($B8),Resume!$N$3:$N$210,0),MATCH('Commercial Invoice'!I$25,Resume!$A$2:$F$2,0)),"")</f>
        <v>0.55000000000000004</v>
      </c>
      <c r="J35" s="180">
        <f t="shared" si="0"/>
        <v>11</v>
      </c>
      <c r="L35" s="5"/>
    </row>
    <row r="36" spans="1:12" ht="13.2" customHeight="1" x14ac:dyDescent="0.2">
      <c r="A36" s="1"/>
      <c r="B36" s="1"/>
      <c r="C36" s="10" t="str">
        <f>IFERROR(INDEX(Resume!$A$3:$F$210,MATCH(ROW($B9),Resume!$N$3:$N$210,0),MATCH('Commercial Invoice'!C$25,Resume!$A$2:$F$2,0)),"")</f>
        <v>CHINA</v>
      </c>
      <c r="D36" s="181" t="str">
        <f>IFERROR(INDEX(Resume!$A$3:$F$210,MATCH(ROW($B9),Resume!$N$3:$N$210,0),MATCH('Commercial Invoice'!D$25,Resume!$A$2:$F$2,0)),"")</f>
        <v/>
      </c>
      <c r="E36" s="181">
        <f>IFERROR(INDEX(Resume!$A$3:$F$210,MATCH(ROW($B9),Resume!$N$3:$N$210,0),MATCH('Commercial Invoice'!E$25,Resume!$A$2:$F$2,0)),"")</f>
        <v>10</v>
      </c>
      <c r="F36" s="181" t="str">
        <f>IFERROR(INDEX(Resume!$A$3:$F$210,MATCH(ROW($B9),Resume!$N$3:$N$210,0),MATCH('Commercial Invoice'!F$25,Resume!$A$2:$F$2,0)),"")</f>
        <v>AP-ICAP</v>
      </c>
      <c r="G36" s="1197" t="str">
        <f>IFERROR(INDEX(Resume!$A$3:$F$210,MATCH(ROW($B9),Resume!$N$3:$N$210,0),MATCH('Commercial Invoice'!G$25,Resume!$A$2:$F$2,0)),"")</f>
        <v>End cap plastic bk</v>
      </c>
      <c r="H36" s="1198"/>
      <c r="I36" s="182">
        <f>IFERROR(INDEX(Resume!$A$3:$F$210,MATCH(ROW($B9),Resume!$N$3:$N$210,0),MATCH('Commercial Invoice'!I$25,Resume!$A$2:$F$2,0)),"")</f>
        <v>0.13</v>
      </c>
      <c r="J36" s="180">
        <f t="shared" si="0"/>
        <v>1.3</v>
      </c>
    </row>
    <row r="37" spans="1:12" ht="13.2" customHeight="1" x14ac:dyDescent="0.2">
      <c r="A37" s="1"/>
      <c r="B37" s="1"/>
      <c r="C37" s="10" t="str">
        <f>IFERROR(INDEX(Resume!$A$3:$F$210,MATCH(ROW($B10),Resume!$N$3:$N$210,0),MATCH('Commercial Invoice'!C$25,Resume!$A$2:$F$2,0)),"")</f>
        <v>CHINA</v>
      </c>
      <c r="D37" s="181" t="str">
        <f>IFERROR(INDEX(Resume!$A$3:$F$210,MATCH(ROW($B10),Resume!$N$3:$N$210,0),MATCH('Commercial Invoice'!D$25,Resume!$A$2:$F$2,0)),"")</f>
        <v/>
      </c>
      <c r="E37" s="181">
        <f>IFERROR(INDEX(Resume!$A$3:$F$210,MATCH(ROW($B10),Resume!$N$3:$N$210,0),MATCH('Commercial Invoice'!E$25,Resume!$A$2:$F$2,0)),"")</f>
        <v>4</v>
      </c>
      <c r="F37" s="181" t="str">
        <f>IFERROR(INDEX(Resume!$A$3:$F$210,MATCH(ROW($B10),Resume!$N$3:$N$210,0),MATCH('Commercial Invoice'!F$25,Resume!$A$2:$F$2,0)),"")</f>
        <v>AF-ILEV</v>
      </c>
      <c r="G37" s="1197" t="str">
        <f>IFERROR(INDEX(Resume!$A$3:$F$210,MATCH(ROW($B10),Resume!$N$3:$N$210,0),MATCH('Commercial Invoice'!G$25,Resume!$A$2:$F$2,0)),"")</f>
        <v>Adjust. inner foot steel zinc</v>
      </c>
      <c r="H37" s="1198"/>
      <c r="I37" s="182">
        <f>IFERROR(INDEX(Resume!$A$3:$F$210,MATCH(ROW($B10),Resume!$N$3:$N$210,0),MATCH('Commercial Invoice'!I$25,Resume!$A$2:$F$2,0)),"")</f>
        <v>2.25</v>
      </c>
      <c r="J37" s="180">
        <f t="shared" si="0"/>
        <v>9</v>
      </c>
    </row>
    <row r="38" spans="1:12" ht="13.2" customHeight="1" x14ac:dyDescent="0.2">
      <c r="A38" s="1"/>
      <c r="B38" s="1"/>
      <c r="C38" s="10" t="str">
        <f>IFERROR(INDEX(Resume!$A$3:$F$210,MATCH(ROW($B11),Resume!$N$3:$N$210,0),MATCH('Commercial Invoice'!C$25,Resume!$A$2:$F$2,0)),"")</f>
        <v>CHINA</v>
      </c>
      <c r="D38" s="181" t="str">
        <f>IFERROR(INDEX(Resume!$A$3:$F$210,MATCH(ROW($B11),Resume!$N$3:$N$210,0),MATCH('Commercial Invoice'!D$25,Resume!$A$2:$F$2,0)),"")</f>
        <v/>
      </c>
      <c r="E38" s="181">
        <f>IFERROR(INDEX(Resume!$A$3:$F$210,MATCH(ROW($B11),Resume!$N$3:$N$210,0),MATCH('Commercial Invoice'!E$25,Resume!$A$2:$F$2,0)),"")</f>
        <v>8</v>
      </c>
      <c r="F38" s="181" t="str">
        <f>IFERROR(INDEX(Resume!$A$3:$F$210,MATCH(ROW($B11),Resume!$N$3:$N$210,0),MATCH('Commercial Invoice'!F$25,Resume!$A$2:$F$2,0)),"")</f>
        <v>AO-SHIM</v>
      </c>
      <c r="G38" s="1197" t="str">
        <f>IFERROR(INDEX(Resume!$A$3:$F$210,MATCH(ROW($B11),Resume!$N$3:$N$210,0),MATCH('Commercial Invoice'!G$25,Resume!$A$2:$F$2,0)),"")</f>
        <v>Leveling shim plastic bk</v>
      </c>
      <c r="H38" s="1198"/>
      <c r="I38" s="182">
        <f>IFERROR(INDEX(Resume!$A$3:$F$210,MATCH(ROW($B11),Resume!$N$3:$N$210,0),MATCH('Commercial Invoice'!I$25,Resume!$A$2:$F$2,0)),"")</f>
        <v>0.13</v>
      </c>
      <c r="J38" s="180">
        <f t="shared" si="0"/>
        <v>1.04</v>
      </c>
    </row>
    <row r="39" spans="1:12" ht="13.2" customHeight="1" x14ac:dyDescent="0.2">
      <c r="A39" s="1"/>
      <c r="B39" s="1"/>
      <c r="C39" s="10" t="str">
        <f>IFERROR(INDEX(Resume!$A$3:$F$210,MATCH(ROW($B12),Resume!$N$3:$N$210,0),MATCH('Commercial Invoice'!C$25,Resume!$A$2:$F$2,0)),"")</f>
        <v>CHINA</v>
      </c>
      <c r="D39" s="181" t="str">
        <f>IFERROR(INDEX(Resume!$A$3:$F$210,MATCH(ROW($B12),Resume!$N$3:$N$210,0),MATCH('Commercial Invoice'!D$25,Resume!$A$2:$F$2,0)),"")</f>
        <v/>
      </c>
      <c r="E39" s="181">
        <f>IFERROR(INDEX(Resume!$A$3:$F$210,MATCH(ROW($B12),Resume!$N$3:$N$210,0),MATCH('Commercial Invoice'!E$25,Resume!$A$2:$F$2,0)),"")</f>
        <v>250</v>
      </c>
      <c r="F39" s="181" t="str">
        <f>IFERROR(INDEX(Resume!$A$3:$F$210,MATCH(ROW($B12),Resume!$N$3:$N$210,0),MATCH('Commercial Invoice'!F$25,Resume!$A$2:$F$2,0)),"")</f>
        <v>M6-25B</v>
      </c>
      <c r="G39" s="1197" t="str">
        <f>IFERROR(INDEX(Resume!$A$3:$F$210,MATCH(ROW($B12),Resume!$N$3:$N$210,0),MATCH('Commercial Invoice'!G$25,Resume!$A$2:$F$2,0)),"")</f>
        <v>Bolt for joint set black zinc</v>
      </c>
      <c r="H39" s="1198"/>
      <c r="I39" s="182">
        <f>IFERROR(INDEX(Resume!$A$3:$F$210,MATCH(ROW($B12),Resume!$N$3:$N$210,0),MATCH('Commercial Invoice'!I$25,Resume!$A$2:$F$2,0)),"")</f>
        <v>0.08</v>
      </c>
      <c r="J39" s="180">
        <f t="shared" si="0"/>
        <v>20</v>
      </c>
    </row>
    <row r="40" spans="1:12" ht="13.2" customHeight="1" x14ac:dyDescent="0.2">
      <c r="A40" s="1"/>
      <c r="B40" s="1"/>
      <c r="C40" s="10" t="str">
        <f>IFERROR(INDEX(Resume!$A$3:$F$210,MATCH(ROW($B13),Resume!$N$3:$N$210,0),MATCH('Commercial Invoice'!C$25,Resume!$A$2:$F$2,0)),"")</f>
        <v>CHINA</v>
      </c>
      <c r="D40" s="181" t="str">
        <f>IFERROR(INDEX(Resume!$A$3:$F$210,MATCH(ROW($B13),Resume!$N$3:$N$210,0),MATCH('Commercial Invoice'!D$25,Resume!$A$2:$F$2,0)),"")</f>
        <v/>
      </c>
      <c r="E40" s="181">
        <f>IFERROR(INDEX(Resume!$A$3:$F$210,MATCH(ROW($B13),Resume!$N$3:$N$210,0),MATCH('Commercial Invoice'!E$25,Resume!$A$2:$F$2,0)),"")</f>
        <v>250</v>
      </c>
      <c r="F40" s="181" t="str">
        <f>IFERROR(INDEX(Resume!$A$3:$F$210,MATCH(ROW($B13),Resume!$N$3:$N$210,0),MATCH('Commercial Invoice'!F$25,Resume!$A$2:$F$2,0)),"")</f>
        <v>M6-N</v>
      </c>
      <c r="G40" s="1197" t="str">
        <f>IFERROR(INDEX(Resume!$A$3:$F$210,MATCH(ROW($B13),Resume!$N$3:$N$210,0),MATCH('Commercial Invoice'!G$25,Resume!$A$2:$F$2,0)),"")</f>
        <v>Nut for joint set black zinc</v>
      </c>
      <c r="H40" s="1198"/>
      <c r="I40" s="182">
        <f>IFERROR(INDEX(Resume!$A$3:$F$210,MATCH(ROW($B13),Resume!$N$3:$N$210,0),MATCH('Commercial Invoice'!I$25,Resume!$A$2:$F$2,0)),"")</f>
        <v>7.0000000000000007E-2</v>
      </c>
      <c r="J40" s="180">
        <f t="shared" si="0"/>
        <v>17.5</v>
      </c>
    </row>
    <row r="41" spans="1:12" ht="13.2" customHeight="1" x14ac:dyDescent="0.2">
      <c r="A41" s="1"/>
      <c r="B41" s="1"/>
      <c r="C41" s="10" t="str">
        <f>IFERROR(INDEX(Resume!$A$3:$F$210,MATCH(ROW($B14),Resume!$N$3:$N$210,0),MATCH('Commercial Invoice'!C$25,Resume!$A$2:$F$2,0)),"")</f>
        <v>CHINA</v>
      </c>
      <c r="D41" s="181" t="str">
        <f>IFERROR(INDEX(Resume!$A$3:$F$210,MATCH(ROW($B14),Resume!$N$3:$N$210,0),MATCH('Commercial Invoice'!D$25,Resume!$A$2:$F$2,0)),"")</f>
        <v/>
      </c>
      <c r="E41" s="181">
        <f>IFERROR(INDEX(Resume!$A$3:$F$210,MATCH(ROW($B14),Resume!$N$3:$N$210,0),MATCH('Commercial Invoice'!E$25,Resume!$A$2:$F$2,0)),"")</f>
        <v>8</v>
      </c>
      <c r="F41" s="181" t="str">
        <f>IFERROR(INDEX(Resume!$A$3:$F$210,MATCH(ROW($B14),Resume!$N$3:$N$210,0),MATCH('Commercial Invoice'!F$25,Resume!$A$2:$F$2,0)),"")</f>
        <v>WF-UP</v>
      </c>
      <c r="G41" s="1197" t="str">
        <f>IFERROR(INDEX(Resume!$A$3:$F$210,MATCH(ROW($B14),Resume!$N$3:$N$210,0),MATCH('Commercial Invoice'!G$25,Resume!$A$2:$F$2,0)),"")</f>
        <v>Caster up bracket steel zinc</v>
      </c>
      <c r="H41" s="1198"/>
      <c r="I41" s="182">
        <f>IFERROR(INDEX(Resume!$A$3:$F$210,MATCH(ROW($B14),Resume!$N$3:$N$210,0),MATCH('Commercial Invoice'!I$25,Resume!$A$2:$F$2,0)),"")</f>
        <v>0.8</v>
      </c>
      <c r="J41" s="180">
        <f t="shared" si="0"/>
        <v>6.4</v>
      </c>
    </row>
    <row r="42" spans="1:12" ht="13.2" customHeight="1" x14ac:dyDescent="0.2">
      <c r="A42" s="1"/>
      <c r="B42" s="1"/>
      <c r="C42" s="10" t="str">
        <f>IFERROR(INDEX(Resume!$A$3:$F$210,MATCH(ROW($B15),Resume!$N$3:$N$210,0),MATCH('Commercial Invoice'!C$25,Resume!$A$2:$F$2,0)),"")</f>
        <v>CHINA</v>
      </c>
      <c r="D42" s="181" t="str">
        <f>IFERROR(INDEX(Resume!$A$3:$F$210,MATCH(ROW($B15),Resume!$N$3:$N$210,0),MATCH('Commercial Invoice'!D$25,Resume!$A$2:$F$2,0)),"")</f>
        <v/>
      </c>
      <c r="E42" s="181">
        <f>IFERROR(INDEX(Resume!$A$3:$F$210,MATCH(ROW($B15),Resume!$N$3:$N$210,0),MATCH('Commercial Invoice'!E$25,Resume!$A$2:$F$2,0)),"")</f>
        <v>8</v>
      </c>
      <c r="F42" s="181" t="str">
        <f>IFERROR(INDEX(Resume!$A$3:$F$210,MATCH(ROW($B15),Resume!$N$3:$N$210,0),MATCH('Commercial Invoice'!F$25,Resume!$A$2:$F$2,0)),"")</f>
        <v>WF-LOW</v>
      </c>
      <c r="G42" s="1197" t="str">
        <f>IFERROR(INDEX(Resume!$A$3:$F$210,MATCH(ROW($B15),Resume!$N$3:$N$210,0),MATCH('Commercial Invoice'!G$25,Resume!$A$2:$F$2,0)),"")</f>
        <v>Caster low bracket steel zinc</v>
      </c>
      <c r="H42" s="1198"/>
      <c r="I42" s="182">
        <f>IFERROR(INDEX(Resume!$A$3:$F$210,MATCH(ROW($B15),Resume!$N$3:$N$210,0),MATCH('Commercial Invoice'!I$25,Resume!$A$2:$F$2,0)),"")</f>
        <v>0.8</v>
      </c>
      <c r="J42" s="180">
        <f t="shared" si="0"/>
        <v>6.4</v>
      </c>
      <c r="L42" s="13"/>
    </row>
    <row r="43" spans="1:12" ht="13.2" customHeight="1" x14ac:dyDescent="0.2">
      <c r="A43" s="1"/>
      <c r="B43" s="1"/>
      <c r="C43" s="10" t="str">
        <f>IFERROR(INDEX(Resume!$A$3:$F$210,MATCH(ROW($B16),Resume!$N$3:$N$210,0),MATCH('Commercial Invoice'!C$25,Resume!$A$2:$F$2,0)),"")</f>
        <v>CHINA</v>
      </c>
      <c r="D43" s="181" t="str">
        <f>IFERROR(INDEX(Resume!$A$3:$F$210,MATCH(ROW($B16),Resume!$N$3:$N$210,0),MATCH('Commercial Invoice'!D$25,Resume!$A$2:$F$2,0)),"")</f>
        <v/>
      </c>
      <c r="E43" s="181">
        <f>IFERROR(INDEX(Resume!$A$3:$F$210,MATCH(ROW($B16),Resume!$N$3:$N$210,0),MATCH('Commercial Invoice'!E$25,Resume!$A$2:$F$2,0)),"")</f>
        <v>16</v>
      </c>
      <c r="F43" s="181" t="str">
        <f>IFERROR(INDEX(Resume!$A$3:$F$210,MATCH(ROW($B16),Resume!$N$3:$N$210,0),MATCH('Commercial Invoice'!F$25,Resume!$A$2:$F$2,0)),"")</f>
        <v>M8-40B</v>
      </c>
      <c r="G43" s="1197" t="str">
        <f>IFERROR(INDEX(Resume!$A$3:$F$210,MATCH(ROW($B16),Resume!$N$3:$N$210,0),MATCH('Commercial Invoice'!G$25,Resume!$A$2:$F$2,0)),"")</f>
        <v>Bolt for caster white zinc</v>
      </c>
      <c r="H43" s="1198"/>
      <c r="I43" s="182">
        <f>IFERROR(INDEX(Resume!$A$3:$F$210,MATCH(ROW($B16),Resume!$N$3:$N$210,0),MATCH('Commercial Invoice'!I$25,Resume!$A$2:$F$2,0)),"")</f>
        <v>0.15</v>
      </c>
      <c r="J43" s="180">
        <f t="shared" si="0"/>
        <v>2.4</v>
      </c>
    </row>
    <row r="44" spans="1:12" ht="13.2" customHeight="1" x14ac:dyDescent="0.2">
      <c r="A44" s="1"/>
      <c r="B44" s="1"/>
      <c r="C44" s="10" t="str">
        <f>IFERROR(INDEX(Resume!$A$3:$F$210,MATCH(ROW($B17),Resume!$N$3:$N$210,0),MATCH('Commercial Invoice'!C$25,Resume!$A$2:$F$2,0)),"")</f>
        <v>CHINA</v>
      </c>
      <c r="D44" s="181" t="str">
        <f>IFERROR(INDEX(Resume!$A$3:$F$210,MATCH(ROW($B17),Resume!$N$3:$N$210,0),MATCH('Commercial Invoice'!D$25,Resume!$A$2:$F$2,0)),"")</f>
        <v/>
      </c>
      <c r="E44" s="181">
        <f>IFERROR(INDEX(Resume!$A$3:$F$210,MATCH(ROW($B17),Resume!$N$3:$N$210,0),MATCH('Commercial Invoice'!E$25,Resume!$A$2:$F$2,0)),"")</f>
        <v>16</v>
      </c>
      <c r="F44" s="181" t="str">
        <f>IFERROR(INDEX(Resume!$A$3:$F$210,MATCH(ROW($B17),Resume!$N$3:$N$210,0),MATCH('Commercial Invoice'!F$25,Resume!$A$2:$F$2,0)),"")</f>
        <v>M8-N</v>
      </c>
      <c r="G44" s="1197" t="str">
        <f>IFERROR(INDEX(Resume!$A$3:$F$210,MATCH(ROW($B17),Resume!$N$3:$N$210,0),MATCH('Commercial Invoice'!G$25,Resume!$A$2:$F$2,0)),"")</f>
        <v>Lock nut for caster white zinc</v>
      </c>
      <c r="H44" s="1198"/>
      <c r="I44" s="182">
        <f>IFERROR(INDEX(Resume!$A$3:$F$210,MATCH(ROW($B17),Resume!$N$3:$N$210,0),MATCH('Commercial Invoice'!I$25,Resume!$A$2:$F$2,0)),"")</f>
        <v>0.05</v>
      </c>
      <c r="J44" s="180">
        <f t="shared" si="0"/>
        <v>0.8</v>
      </c>
    </row>
    <row r="45" spans="1:12" ht="13.2" customHeight="1" x14ac:dyDescent="0.2">
      <c r="A45" s="1"/>
      <c r="B45" s="1"/>
      <c r="C45" s="10" t="str">
        <f>IFERROR(INDEX(Resume!$A$3:$F$210,MATCH(ROW($B18),Resume!$N$3:$N$210,0),MATCH('Commercial Invoice'!C$25,Resume!$A$2:$F$2,0)),"")</f>
        <v>CHINA</v>
      </c>
      <c r="D45" s="181" t="str">
        <f>IFERROR(INDEX(Resume!$A$3:$F$210,MATCH(ROW($B18),Resume!$N$3:$N$210,0),MATCH('Commercial Invoice'!D$25,Resume!$A$2:$F$2,0)),"")</f>
        <v/>
      </c>
      <c r="E45" s="181">
        <f>IFERROR(INDEX(Resume!$A$3:$F$210,MATCH(ROW($B18),Resume!$N$3:$N$210,0),MATCH('Commercial Invoice'!E$25,Resume!$A$2:$F$2,0)),"")</f>
        <v>4</v>
      </c>
      <c r="F45" s="181" t="str">
        <f>IFERROR(INDEX(Resume!$A$3:$F$210,MATCH(ROW($B18),Resume!$N$3:$N$210,0),MATCH('Commercial Invoice'!F$25,Resume!$A$2:$F$2,0)),"")</f>
        <v>W-3ESB</v>
      </c>
      <c r="G45" s="1197" t="str">
        <f>IFERROR(INDEX(Resume!$A$3:$F$210,MATCH(ROW($B18),Resume!$N$3:$N$210,0),MATCH('Commercial Invoice'!G$25,Resume!$A$2:$F$2,0)),"")</f>
        <v>3'' Swivel stem caster brake</v>
      </c>
      <c r="H45" s="1198"/>
      <c r="I45" s="182">
        <f>IFERROR(INDEX(Resume!$A$3:$F$210,MATCH(ROW($B18),Resume!$N$3:$N$210,0),MATCH('Commercial Invoice'!I$25,Resume!$A$2:$F$2,0)),"")</f>
        <v>9</v>
      </c>
      <c r="J45" s="180">
        <f t="shared" si="0"/>
        <v>36</v>
      </c>
    </row>
    <row r="46" spans="1:12" ht="13.2" customHeight="1" x14ac:dyDescent="0.2">
      <c r="A46" s="1"/>
      <c r="B46" s="1"/>
      <c r="C46" s="10" t="str">
        <f>IFERROR(INDEX(Resume!$A$3:$F$210,MATCH(ROW($B19),Resume!$N$3:$N$210,0),MATCH('Commercial Invoice'!C$25,Resume!$A$2:$F$2,0)),"")</f>
        <v>CHINA</v>
      </c>
      <c r="D46" s="181" t="str">
        <f>IFERROR(INDEX(Resume!$A$3:$F$210,MATCH(ROW($B19),Resume!$N$3:$N$210,0),MATCH('Commercial Invoice'!D$25,Resume!$A$2:$F$2,0)),"")</f>
        <v/>
      </c>
      <c r="E46" s="181">
        <f>IFERROR(INDEX(Resume!$A$3:$F$210,MATCH(ROW($B19),Resume!$N$3:$N$210,0),MATCH('Commercial Invoice'!E$25,Resume!$A$2:$F$2,0)),"")</f>
        <v>4</v>
      </c>
      <c r="F46" s="181" t="str">
        <f>IFERROR(INDEX(Resume!$A$3:$F$210,MATCH(ROW($B19),Resume!$N$3:$N$210,0),MATCH('Commercial Invoice'!F$25,Resume!$A$2:$F$2,0)),"")</f>
        <v>W-4PSB</v>
      </c>
      <c r="G46" s="1197" t="str">
        <f>IFERROR(INDEX(Resume!$A$3:$F$210,MATCH(ROW($B19),Resume!$N$3:$N$210,0),MATCH('Commercial Invoice'!G$25,Resume!$A$2:$F$2,0)),"")</f>
        <v>4'' Swivel plate caster brake</v>
      </c>
      <c r="H46" s="1198"/>
      <c r="I46" s="182">
        <f>IFERROR(INDEX(Resume!$A$3:$F$210,MATCH(ROW($B19),Resume!$N$3:$N$210,0),MATCH('Commercial Invoice'!I$25,Resume!$A$2:$F$2,0)),"")</f>
        <v>10.5</v>
      </c>
      <c r="J46" s="180">
        <f t="shared" si="0"/>
        <v>42</v>
      </c>
    </row>
    <row r="47" spans="1:12" ht="13.2" customHeight="1" x14ac:dyDescent="0.2">
      <c r="A47" s="1"/>
      <c r="B47" s="1"/>
      <c r="C47" s="10" t="str">
        <f>IFERROR(INDEX(Resume!$A$3:$F$210,MATCH(ROW($B20),Resume!$N$3:$N$210,0),MATCH('Commercial Invoice'!C$25,Resume!$A$2:$F$2,0)),"")</f>
        <v/>
      </c>
      <c r="D47" s="181" t="str">
        <f>IFERROR(INDEX(Resume!$A$3:$F$210,MATCH(ROW($B20),Resume!$N$3:$N$210,0),MATCH('Commercial Invoice'!D$25,Resume!$A$2:$F$2,0)),"")</f>
        <v/>
      </c>
      <c r="E47" s="181" t="str">
        <f>IFERROR(INDEX(Resume!$A$3:$F$210,MATCH(ROW($B20),Resume!$N$3:$N$210,0),MATCH('Commercial Invoice'!E$25,Resume!$A$2:$F$2,0)),"")</f>
        <v/>
      </c>
      <c r="F47" s="181" t="str">
        <f>IFERROR(INDEX(Resume!$A$3:$F$210,MATCH(ROW($B20),Resume!$N$3:$N$210,0),MATCH('Commercial Invoice'!F$25,Resume!$A$2:$F$2,0)),"")</f>
        <v/>
      </c>
      <c r="G47" s="1197" t="str">
        <f>IFERROR(INDEX(Resume!$A$3:$F$210,MATCH(ROW($B20),Resume!$N$3:$N$210,0),MATCH('Commercial Invoice'!G$25,Resume!$A$2:$F$2,0)),"")</f>
        <v/>
      </c>
      <c r="H47" s="1198"/>
      <c r="I47" s="182" t="str">
        <f>IFERROR(INDEX(Resume!$A$3:$F$210,MATCH(ROW($B20),Resume!$N$3:$N$210,0),MATCH('Commercial Invoice'!I$25,Resume!$A$2:$F$2,0)),"")</f>
        <v/>
      </c>
      <c r="J47" s="180" t="str">
        <f t="shared" si="0"/>
        <v/>
      </c>
    </row>
    <row r="48" spans="1:12" ht="13.2" customHeight="1" x14ac:dyDescent="0.2">
      <c r="A48" s="1"/>
      <c r="B48" s="1"/>
      <c r="C48" s="10" t="str">
        <f>IFERROR(INDEX(Resume!$A$3:$F$210,MATCH(ROW($B21),Resume!$N$3:$N$210,0),MATCH('Commercial Invoice'!C$25,Resume!$A$2:$F$2,0)),"")</f>
        <v/>
      </c>
      <c r="D48" s="181" t="str">
        <f>IFERROR(INDEX(Resume!$A$3:$F$210,MATCH(ROW($B21),Resume!$N$3:$N$210,0),MATCH('Commercial Invoice'!D$25,Resume!$A$2:$F$2,0)),"")</f>
        <v/>
      </c>
      <c r="E48" s="181" t="str">
        <f>IFERROR(INDEX(Resume!$A$3:$F$210,MATCH(ROW($B21),Resume!$N$3:$N$210,0),MATCH('Commercial Invoice'!E$25,Resume!$A$2:$F$2,0)),"")</f>
        <v/>
      </c>
      <c r="F48" s="181" t="str">
        <f>IFERROR(INDEX(Resume!$A$3:$F$210,MATCH(ROW($B21),Resume!$N$3:$N$210,0),MATCH('Commercial Invoice'!F$25,Resume!$A$2:$F$2,0)),"")</f>
        <v/>
      </c>
      <c r="G48" s="1197" t="str">
        <f>IFERROR(INDEX(Resume!$A$3:$F$210,MATCH(ROW($B21),Resume!$N$3:$N$210,0),MATCH('Commercial Invoice'!G$25,Resume!$A$2:$F$2,0)),"")</f>
        <v/>
      </c>
      <c r="H48" s="1198"/>
      <c r="I48" s="182" t="str">
        <f>IFERROR(INDEX(Resume!$A$3:$F$210,MATCH(ROW($B21),Resume!$N$3:$N$210,0),MATCH('Commercial Invoice'!I$25,Resume!$A$2:$F$2,0)),"")</f>
        <v/>
      </c>
      <c r="J48" s="180" t="str">
        <f t="shared" si="0"/>
        <v/>
      </c>
    </row>
    <row r="49" spans="1:13" ht="13.2" customHeight="1" x14ac:dyDescent="0.2">
      <c r="A49" s="1"/>
      <c r="B49" s="1"/>
      <c r="C49" s="10" t="str">
        <f>IFERROR(INDEX(Resume!$A$3:$F$210,MATCH(ROW($B22),Resume!$N$3:$N$210,0),MATCH('Commercial Invoice'!C$25,Resume!$A$2:$F$2,0)),"")</f>
        <v/>
      </c>
      <c r="D49" s="181" t="str">
        <f>IFERROR(INDEX(Resume!$A$3:$F$210,MATCH(ROW($B22),Resume!$N$3:$N$210,0),MATCH('Commercial Invoice'!D$25,Resume!$A$2:$F$2,0)),"")</f>
        <v/>
      </c>
      <c r="E49" s="181" t="str">
        <f>IFERROR(INDEX(Resume!$A$3:$F$210,MATCH(ROW($B22),Resume!$N$3:$N$210,0),MATCH('Commercial Invoice'!E$25,Resume!$A$2:$F$2,0)),"")</f>
        <v/>
      </c>
      <c r="F49" s="181" t="str">
        <f>IFERROR(INDEX(Resume!$A$3:$F$210,MATCH(ROW($B22),Resume!$N$3:$N$210,0),MATCH('Commercial Invoice'!F$25,Resume!$A$2:$F$2,0)),"")</f>
        <v/>
      </c>
      <c r="G49" s="1197" t="str">
        <f>IFERROR(INDEX(Resume!$A$3:$F$210,MATCH(ROW($B22),Resume!$N$3:$N$210,0),MATCH('Commercial Invoice'!G$25,Resume!$A$2:$F$2,0)),"")</f>
        <v/>
      </c>
      <c r="H49" s="1198"/>
      <c r="I49" s="182" t="str">
        <f>IFERROR(INDEX(Resume!$A$3:$F$210,MATCH(ROW($B22),Resume!$N$3:$N$210,0),MATCH('Commercial Invoice'!I$25,Resume!$A$2:$F$2,0)),"")</f>
        <v/>
      </c>
      <c r="J49" s="180" t="str">
        <f t="shared" si="0"/>
        <v/>
      </c>
      <c r="L49" s="13"/>
    </row>
    <row r="50" spans="1:13" ht="13.2" customHeight="1" x14ac:dyDescent="0.2">
      <c r="A50" s="1"/>
      <c r="B50" s="1"/>
      <c r="C50" s="10" t="str">
        <f>IFERROR(INDEX(Resume!$A$3:$F$210,MATCH(ROW($B23),Resume!$N$3:$N$210,0),MATCH('Commercial Invoice'!C$25,Resume!$A$2:$F$2,0)),"")</f>
        <v/>
      </c>
      <c r="D50" s="181" t="str">
        <f>IFERROR(INDEX(Resume!$A$3:$F$210,MATCH(ROW($B23),Resume!$N$3:$N$210,0),MATCH('Commercial Invoice'!D$25,Resume!$A$2:$F$2,0)),"")</f>
        <v/>
      </c>
      <c r="E50" s="181" t="str">
        <f>IFERROR(INDEX(Resume!$A$3:$F$210,MATCH(ROW($B23),Resume!$N$3:$N$210,0),MATCH('Commercial Invoice'!E$25,Resume!$A$2:$F$2,0)),"")</f>
        <v/>
      </c>
      <c r="F50" s="181" t="str">
        <f>IFERROR(INDEX(Resume!$A$3:$F$210,MATCH(ROW($B23),Resume!$N$3:$N$210,0),MATCH('Commercial Invoice'!F$25,Resume!$A$2:$F$2,0)),"")</f>
        <v/>
      </c>
      <c r="G50" s="1197" t="str">
        <f>IFERROR(INDEX(Resume!$A$3:$F$210,MATCH(ROW($B23),Resume!$N$3:$N$210,0),MATCH('Commercial Invoice'!G$25,Resume!$A$2:$F$2,0)),"")</f>
        <v/>
      </c>
      <c r="H50" s="1198"/>
      <c r="I50" s="182" t="str">
        <f>IFERROR(INDEX(Resume!$A$3:$F$210,MATCH(ROW($B23),Resume!$N$3:$N$210,0),MATCH('Commercial Invoice'!I$25,Resume!$A$2:$F$2,0)),"")</f>
        <v/>
      </c>
      <c r="J50" s="180" t="str">
        <f t="shared" si="0"/>
        <v/>
      </c>
      <c r="L50" s="13"/>
    </row>
    <row r="51" spans="1:13" ht="13.2" customHeight="1" x14ac:dyDescent="0.2">
      <c r="A51" s="1"/>
      <c r="B51" s="1"/>
      <c r="C51" s="10" t="str">
        <f>IFERROR(INDEX(Resume!$A$3:$F$210,MATCH(ROW($B24),Resume!$N$3:$N$210,0),MATCH('Commercial Invoice'!C$25,Resume!$A$2:$F$2,0)),"")</f>
        <v/>
      </c>
      <c r="D51" s="181" t="str">
        <f>IFERROR(INDEX(Resume!$A$3:$F$210,MATCH(ROW($B24),Resume!$N$3:$N$210,0),MATCH('Commercial Invoice'!D$25,Resume!$A$2:$F$2,0)),"")</f>
        <v/>
      </c>
      <c r="E51" s="181" t="str">
        <f>IFERROR(INDEX(Resume!$A$3:$F$210,MATCH(ROW($B24),Resume!$N$3:$N$210,0),MATCH('Commercial Invoice'!E$25,Resume!$A$2:$F$2,0)),"")</f>
        <v/>
      </c>
      <c r="F51" s="181" t="str">
        <f>IFERROR(INDEX(Resume!$A$3:$F$210,MATCH(ROW($B24),Resume!$N$3:$N$210,0),MATCH('Commercial Invoice'!F$25,Resume!$A$2:$F$2,0)),"")</f>
        <v/>
      </c>
      <c r="G51" s="1197" t="str">
        <f>IFERROR(INDEX(Resume!$A$3:$F$210,MATCH(ROW($B24),Resume!$N$3:$N$210,0),MATCH('Commercial Invoice'!G$25,Resume!$A$2:$F$2,0)),"")</f>
        <v/>
      </c>
      <c r="H51" s="1198"/>
      <c r="I51" s="182" t="str">
        <f>IFERROR(INDEX(Resume!$A$3:$F$210,MATCH(ROW($B24),Resume!$N$3:$N$210,0),MATCH('Commercial Invoice'!I$25,Resume!$A$2:$F$2,0)),"")</f>
        <v/>
      </c>
      <c r="J51" s="180" t="str">
        <f t="shared" si="0"/>
        <v/>
      </c>
      <c r="L51" s="13"/>
    </row>
    <row r="52" spans="1:13" ht="13.2" customHeight="1" x14ac:dyDescent="0.2">
      <c r="A52" s="1"/>
      <c r="B52" s="1"/>
      <c r="C52" s="10" t="str">
        <f>IFERROR(INDEX(Resume!$A$3:$F$210,MATCH(ROW($B25),Resume!$N$3:$N$210,0),MATCH('Commercial Invoice'!C$25,Resume!$A$2:$F$2,0)),"")</f>
        <v/>
      </c>
      <c r="D52" s="181" t="str">
        <f>IFERROR(INDEX(Resume!$A$3:$F$210,MATCH(ROW($B25),Resume!$N$3:$N$210,0),MATCH('Commercial Invoice'!D$25,Resume!$A$2:$F$2,0)),"")</f>
        <v/>
      </c>
      <c r="E52" s="181" t="str">
        <f>IFERROR(INDEX(Resume!$A$3:$F$210,MATCH(ROW($B25),Resume!$N$3:$N$210,0),MATCH('Commercial Invoice'!E$25,Resume!$A$2:$F$2,0)),"")</f>
        <v/>
      </c>
      <c r="F52" s="181" t="str">
        <f>IFERROR(INDEX(Resume!$A$3:$F$210,MATCH(ROW($B25),Resume!$N$3:$N$210,0),MATCH('Commercial Invoice'!F$25,Resume!$A$2:$F$2,0)),"")</f>
        <v/>
      </c>
      <c r="G52" s="1197" t="str">
        <f>IFERROR(INDEX(Resume!$A$3:$F$210,MATCH(ROW($B25),Resume!$N$3:$N$210,0),MATCH('Commercial Invoice'!G$25,Resume!$A$2:$F$2,0)),"")</f>
        <v/>
      </c>
      <c r="H52" s="1198"/>
      <c r="I52" s="182" t="str">
        <f>IFERROR(INDEX(Resume!$A$3:$F$210,MATCH(ROW($B25),Resume!$N$3:$N$210,0),MATCH('Commercial Invoice'!I$25,Resume!$A$2:$F$2,0)),"")</f>
        <v/>
      </c>
      <c r="J52" s="180" t="str">
        <f t="shared" si="0"/>
        <v/>
      </c>
      <c r="L52" s="13"/>
    </row>
    <row r="53" spans="1:13" ht="13.2" customHeight="1" x14ac:dyDescent="0.2">
      <c r="A53" s="1"/>
      <c r="B53" s="1"/>
      <c r="C53" s="10" t="str">
        <f>IFERROR(INDEX(Resume!$A$3:$F$210,MATCH(ROW($B26),Resume!$N$3:$N$210,0),MATCH('Commercial Invoice'!C$25,Resume!$A$2:$F$2,0)),"")</f>
        <v/>
      </c>
      <c r="D53" s="181" t="str">
        <f>IFERROR(INDEX(Resume!$A$3:$F$210,MATCH(ROW($B26),Resume!$N$3:$N$210,0),MATCH('Commercial Invoice'!D$25,Resume!$A$2:$F$2,0)),"")</f>
        <v/>
      </c>
      <c r="E53" s="181" t="str">
        <f>IFERROR(INDEX(Resume!$A$3:$F$210,MATCH(ROW($B26),Resume!$N$3:$N$210,0),MATCH('Commercial Invoice'!E$25,Resume!$A$2:$F$2,0)),"")</f>
        <v/>
      </c>
      <c r="F53" s="181" t="str">
        <f>IFERROR(INDEX(Resume!$A$3:$F$210,MATCH(ROW($B26),Resume!$N$3:$N$210,0),MATCH('Commercial Invoice'!F$25,Resume!$A$2:$F$2,0)),"")</f>
        <v/>
      </c>
      <c r="G53" s="1197" t="str">
        <f>IFERROR(INDEX(Resume!$A$3:$F$210,MATCH(ROW($B26),Resume!$N$3:$N$210,0),MATCH('Commercial Invoice'!G$25,Resume!$A$2:$F$2,0)),"")</f>
        <v/>
      </c>
      <c r="H53" s="1198"/>
      <c r="I53" s="182" t="str">
        <f>IFERROR(INDEX(Resume!$A$3:$F$210,MATCH(ROW($B26),Resume!$N$3:$N$210,0),MATCH('Commercial Invoice'!I$25,Resume!$A$2:$F$2,0)),"")</f>
        <v/>
      </c>
      <c r="J53" s="180" t="str">
        <f t="shared" si="0"/>
        <v/>
      </c>
    </row>
    <row r="54" spans="1:13" ht="13.2" customHeight="1" x14ac:dyDescent="0.2">
      <c r="A54" s="1"/>
      <c r="B54" s="1"/>
      <c r="C54" s="10" t="str">
        <f>IFERROR(INDEX(Resume!$A$3:$F$210,MATCH(ROW($B27),Resume!$N$3:$N$210,0),MATCH('Commercial Invoice'!C$25,Resume!$A$2:$F$2,0)),"")</f>
        <v/>
      </c>
      <c r="D54" s="181" t="str">
        <f>IFERROR(INDEX(Resume!$A$3:$F$210,MATCH(ROW($B27),Resume!$N$3:$N$210,0),MATCH('Commercial Invoice'!D$25,Resume!$A$2:$F$2,0)),"")</f>
        <v/>
      </c>
      <c r="E54" s="181" t="str">
        <f>IFERROR(INDEX(Resume!$A$3:$F$210,MATCH(ROW($B27),Resume!$N$3:$N$210,0),MATCH('Commercial Invoice'!E$25,Resume!$A$2:$F$2,0)),"")</f>
        <v/>
      </c>
      <c r="F54" s="181" t="str">
        <f>IFERROR(INDEX(Resume!$A$3:$F$210,MATCH(ROW($B27),Resume!$N$3:$N$210,0),MATCH('Commercial Invoice'!F$25,Resume!$A$2:$F$2,0)),"")</f>
        <v/>
      </c>
      <c r="G54" s="1197" t="str">
        <f>IFERROR(INDEX(Resume!$A$3:$F$210,MATCH(ROW($B27),Resume!$N$3:$N$210,0),MATCH('Commercial Invoice'!G$25,Resume!$A$2:$F$2,0)),"")</f>
        <v/>
      </c>
      <c r="H54" s="1198"/>
      <c r="I54" s="182" t="str">
        <f>IFERROR(INDEX(Resume!$A$3:$F$210,MATCH(ROW($B27),Resume!$N$3:$N$210,0),MATCH('Commercial Invoice'!I$25,Resume!$A$2:$F$2,0)),"")</f>
        <v/>
      </c>
      <c r="J54" s="180" t="str">
        <f t="shared" si="0"/>
        <v/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197" t="str">
        <f>IFERROR(INDEX(Resume!$A$3:$F$210,MATCH(ROW($B28),Resume!$N$3:$N$210,0),MATCH('Commercial Invoice'!G$25,Resume!$A$2:$F$2,0)),"")</f>
        <v/>
      </c>
      <c r="H55" s="1198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197" t="str">
        <f>IFERROR(INDEX(Resume!$A$3:$F$210,MATCH(ROW($B29),Resume!$N$3:$N$210,0),MATCH('Commercial Invoice'!G$25,Resume!$A$2:$F$2,0)),"")</f>
        <v/>
      </c>
      <c r="H56" s="1198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197" t="str">
        <f>IFERROR(INDEX(Resume!$A$3:$F$210,MATCH(ROW($B29),Resume!$N$3:$N$210,0),MATCH('Commercial Invoice'!G$25,Resume!$A$2:$F$2,0)),"")</f>
        <v/>
      </c>
      <c r="H57" s="1198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197" t="str">
        <f>IFERROR(INDEX(Resume!$A$3:$F$210,MATCH(ROW($B30),Resume!$N$3:$N$210,0),MATCH('Commercial Invoice'!G$25,Resume!$A$2:$F$2,0)),"")</f>
        <v/>
      </c>
      <c r="H58" s="1198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197" t="str">
        <f>IFERROR(INDEX(Resume!$A$3:$F$210,MATCH(ROW($B29),Resume!$N$3:$N$210,0),MATCH('Commercial Invoice'!G$25,Resume!$A$2:$F$2,0)),"")</f>
        <v/>
      </c>
      <c r="H59" s="1198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197" t="str">
        <f>IFERROR(INDEX(Resume!$A$3:$F$210,MATCH(ROW($B30),Resume!$N$3:$N$210,0),MATCH('Commercial Invoice'!G$25,Resume!$A$2:$F$2,0)),"")</f>
        <v/>
      </c>
      <c r="H60" s="1198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515.09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515.09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8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199"/>
      <c r="H72" s="1201" t="s">
        <v>37</v>
      </c>
      <c r="I72" s="1202"/>
      <c r="J72" s="1203"/>
    </row>
    <row r="73" spans="3:10" ht="10.8" thickBot="1" x14ac:dyDescent="0.25">
      <c r="C73" s="51" t="s">
        <v>142</v>
      </c>
      <c r="D73" s="52"/>
      <c r="E73" s="53"/>
      <c r="F73" s="54"/>
      <c r="G73" s="1200"/>
      <c r="H73" s="1204"/>
      <c r="I73" s="1205"/>
      <c r="J73" s="1206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form'!H546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573</v>
      </c>
      <c r="F94" s="14" t="s">
        <v>571</v>
      </c>
      <c r="G94" s="58" t="s">
        <v>572</v>
      </c>
      <c r="H94" s="58" t="s">
        <v>574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250" t="s">
        <v>364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1"/>
    </row>
    <row r="2" spans="1:14" x14ac:dyDescent="0.25">
      <c r="A2" s="1250" t="s">
        <v>363</v>
      </c>
      <c r="B2" s="1250"/>
      <c r="C2" s="1252"/>
      <c r="D2" s="1252"/>
      <c r="E2" s="1252"/>
      <c r="F2" s="1252"/>
      <c r="G2" s="1252"/>
      <c r="H2" s="1252"/>
      <c r="I2" s="1252"/>
      <c r="J2" s="1252"/>
      <c r="K2" s="1252"/>
      <c r="L2" s="1252"/>
      <c r="M2" s="1252"/>
      <c r="N2" s="1253"/>
    </row>
    <row r="4" spans="1:14" x14ac:dyDescent="0.25">
      <c r="A4" s="1258" t="s">
        <v>340</v>
      </c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</row>
    <row r="5" spans="1:14" x14ac:dyDescent="0.25">
      <c r="A5" s="1258" t="s">
        <v>341</v>
      </c>
      <c r="B5" s="1258"/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8"/>
    </row>
    <row r="6" spans="1:14" x14ac:dyDescent="0.25">
      <c r="A6" s="1259" t="s">
        <v>339</v>
      </c>
      <c r="B6" s="1259"/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</row>
    <row r="7" spans="1:14" x14ac:dyDescent="0.25">
      <c r="A7" s="126" t="s">
        <v>326</v>
      </c>
      <c r="B7" s="126"/>
      <c r="C7" s="126"/>
      <c r="D7" s="126"/>
      <c r="E7" s="126"/>
      <c r="F7" s="158"/>
      <c r="G7" s="127" t="s">
        <v>324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327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370</v>
      </c>
      <c r="I10" s="165"/>
      <c r="J10" s="164"/>
    </row>
    <row r="11" spans="1:14" x14ac:dyDescent="0.25">
      <c r="B11" s="166"/>
      <c r="E11" s="145"/>
      <c r="F11" s="160"/>
      <c r="G11" s="128" t="s">
        <v>328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322</v>
      </c>
      <c r="E12" s="145"/>
      <c r="F12" s="130"/>
      <c r="G12" s="145"/>
      <c r="H12" s="168" t="s">
        <v>371</v>
      </c>
      <c r="I12" s="165"/>
      <c r="J12" s="164"/>
    </row>
    <row r="13" spans="1:14" x14ac:dyDescent="0.25">
      <c r="A13" s="126" t="s">
        <v>325</v>
      </c>
      <c r="B13" s="126"/>
      <c r="C13" s="126"/>
      <c r="D13" s="126"/>
      <c r="E13" s="126"/>
      <c r="F13" s="129"/>
      <c r="G13" s="127" t="s">
        <v>323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372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322</v>
      </c>
      <c r="B18" s="131"/>
      <c r="C18" s="131"/>
      <c r="D18" s="131"/>
      <c r="E18" s="131"/>
      <c r="F18" s="159"/>
      <c r="G18" s="133" t="s">
        <v>322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254"/>
      <c r="B19" s="1254"/>
      <c r="C19" s="1254"/>
      <c r="D19" s="1254"/>
      <c r="E19" s="1254"/>
      <c r="F19" s="1254"/>
      <c r="G19" s="134"/>
      <c r="H19" s="1244" t="s">
        <v>358</v>
      </c>
      <c r="I19" s="1245"/>
      <c r="J19" s="1244" t="s">
        <v>359</v>
      </c>
      <c r="K19" s="1245"/>
      <c r="L19" s="1255" t="s">
        <v>360</v>
      </c>
      <c r="M19" s="1255" t="s">
        <v>361</v>
      </c>
      <c r="N19" s="1244" t="s">
        <v>362</v>
      </c>
    </row>
    <row r="20" spans="1:14" x14ac:dyDescent="0.25">
      <c r="A20" s="1241" t="s">
        <v>343</v>
      </c>
      <c r="B20" s="1241"/>
      <c r="C20" s="1242"/>
      <c r="D20" s="1242"/>
      <c r="E20" s="1242"/>
      <c r="F20" s="1242"/>
      <c r="G20" s="136"/>
      <c r="H20" s="1246"/>
      <c r="I20" s="1247"/>
      <c r="J20" s="1246"/>
      <c r="K20" s="1247"/>
      <c r="L20" s="1256"/>
      <c r="M20" s="1256"/>
      <c r="N20" s="1246"/>
    </row>
    <row r="21" spans="1:14" x14ac:dyDescent="0.25">
      <c r="A21" s="1241" t="s">
        <v>342</v>
      </c>
      <c r="B21" s="1241"/>
      <c r="C21" s="1242"/>
      <c r="D21" s="1242"/>
      <c r="E21" s="1242"/>
      <c r="F21" s="1242"/>
      <c r="G21" s="136"/>
      <c r="H21" s="1246"/>
      <c r="I21" s="1247"/>
      <c r="J21" s="1246"/>
      <c r="K21" s="1247"/>
      <c r="L21" s="1256"/>
      <c r="M21" s="1256"/>
      <c r="N21" s="1246"/>
    </row>
    <row r="22" spans="1:14" x14ac:dyDescent="0.25">
      <c r="A22" s="1243"/>
      <c r="B22" s="1243"/>
      <c r="C22" s="1243"/>
      <c r="D22" s="1243"/>
      <c r="E22" s="1243"/>
      <c r="F22" s="1243"/>
      <c r="G22" s="135"/>
      <c r="H22" s="1248"/>
      <c r="I22" s="1249"/>
      <c r="J22" s="1248"/>
      <c r="K22" s="1249"/>
      <c r="L22" s="1257"/>
      <c r="M22" s="1257"/>
      <c r="N22" s="1248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373</v>
      </c>
      <c r="K24" s="130"/>
      <c r="L24" s="149" t="s">
        <v>374</v>
      </c>
      <c r="M24" s="149" t="s">
        <v>375</v>
      </c>
      <c r="N24" s="170" t="s">
        <v>376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344</v>
      </c>
    </row>
    <row r="46" spans="1:14" x14ac:dyDescent="0.25">
      <c r="A46" t="s">
        <v>345</v>
      </c>
    </row>
    <row r="47" spans="1:14" x14ac:dyDescent="0.25">
      <c r="A47" t="s">
        <v>346</v>
      </c>
    </row>
    <row r="48" spans="1:14" x14ac:dyDescent="0.25">
      <c r="A48" t="s">
        <v>347</v>
      </c>
    </row>
    <row r="49" spans="1:14" x14ac:dyDescent="0.25">
      <c r="A49" t="s">
        <v>348</v>
      </c>
    </row>
    <row r="50" spans="1:14" x14ac:dyDescent="0.25">
      <c r="A50" t="s">
        <v>349</v>
      </c>
    </row>
    <row r="51" spans="1:14" x14ac:dyDescent="0.25">
      <c r="A51" t="s">
        <v>350</v>
      </c>
    </row>
    <row r="52" spans="1:14" x14ac:dyDescent="0.25">
      <c r="A52" t="s">
        <v>351</v>
      </c>
    </row>
    <row r="53" spans="1:14" x14ac:dyDescent="0.25">
      <c r="A53" t="s">
        <v>352</v>
      </c>
    </row>
    <row r="54" spans="1:14" x14ac:dyDescent="0.25">
      <c r="A54" t="s">
        <v>353</v>
      </c>
    </row>
    <row r="55" spans="1:14" x14ac:dyDescent="0.25">
      <c r="A55" t="s">
        <v>354</v>
      </c>
    </row>
    <row r="56" spans="1:14" x14ac:dyDescent="0.25">
      <c r="A56" t="s">
        <v>337</v>
      </c>
      <c r="D56" s="162">
        <v>1</v>
      </c>
      <c r="E56" t="s">
        <v>336</v>
      </c>
    </row>
    <row r="57" spans="1:14" ht="4.95" customHeight="1" x14ac:dyDescent="0.25">
      <c r="D57" s="126"/>
    </row>
    <row r="58" spans="1:14" x14ac:dyDescent="0.25">
      <c r="A58" s="129"/>
      <c r="B58" s="143" t="s">
        <v>331</v>
      </c>
      <c r="C58" s="126"/>
      <c r="D58" s="126"/>
      <c r="E58" s="126"/>
      <c r="F58" s="129"/>
      <c r="G58" s="127" t="s">
        <v>330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367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332</v>
      </c>
      <c r="C60" s="145"/>
      <c r="D60" s="145"/>
      <c r="E60" s="145"/>
      <c r="F60" s="130"/>
      <c r="G60" s="138" t="s">
        <v>329</v>
      </c>
      <c r="H60" s="138"/>
    </row>
    <row r="61" spans="1:14" x14ac:dyDescent="0.25">
      <c r="A61" s="140" t="s">
        <v>321</v>
      </c>
      <c r="B61" s="163" t="s">
        <v>368</v>
      </c>
      <c r="C61" s="131"/>
      <c r="D61" s="131"/>
      <c r="E61" s="131"/>
      <c r="F61" s="132"/>
      <c r="G61" s="161" t="s">
        <v>369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338</v>
      </c>
      <c r="C62" s="145"/>
      <c r="D62" s="145"/>
      <c r="E62" s="150" t="s">
        <v>357</v>
      </c>
      <c r="F62" s="139"/>
      <c r="G62" s="157" t="s">
        <v>333</v>
      </c>
      <c r="H62" s="157"/>
      <c r="K62" s="129"/>
      <c r="L62" s="157" t="s">
        <v>334</v>
      </c>
    </row>
    <row r="63" spans="1:14" ht="12.6" customHeight="1" x14ac:dyDescent="0.25">
      <c r="A63" s="130"/>
      <c r="B63" s="175"/>
      <c r="C63" s="145"/>
      <c r="D63" s="145"/>
      <c r="E63" s="151" t="s">
        <v>355</v>
      </c>
      <c r="F63" s="1239" t="s">
        <v>3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356</v>
      </c>
      <c r="F64" s="1240"/>
      <c r="G64" s="161" t="s">
        <v>365</v>
      </c>
      <c r="H64" s="131"/>
      <c r="I64" s="131"/>
      <c r="J64" s="131"/>
      <c r="K64" s="132"/>
      <c r="L64" s="161" t="s">
        <v>366</v>
      </c>
      <c r="M64" s="131"/>
      <c r="N64" s="131"/>
    </row>
    <row r="65" spans="1:14" x14ac:dyDescent="0.25">
      <c r="N65" s="153" t="s">
        <v>335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Yves Provost</cp:lastModifiedBy>
  <cp:lastPrinted>2018-02-08T19:18:47Z</cp:lastPrinted>
  <dcterms:created xsi:type="dcterms:W3CDTF">2009-08-12T21:40:25Z</dcterms:created>
  <dcterms:modified xsi:type="dcterms:W3CDTF">2018-02-13T15:42:58Z</dcterms:modified>
</cp:coreProperties>
</file>