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USD 2019\"/>
    </mc:Choice>
  </mc:AlternateContent>
  <bookViews>
    <workbookView xWindow="0" yWindow="0" windowWidth="28800" windowHeight="12300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77" i="2" l="1"/>
  <c r="K80" i="2"/>
  <c r="F80" i="2"/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C191" i="3"/>
  <c r="I191" i="3" s="1"/>
  <c r="K190" i="3"/>
  <c r="M190" i="3" s="1"/>
  <c r="K189" i="3"/>
  <c r="M189" i="3" s="1"/>
  <c r="K188" i="3"/>
  <c r="F190" i="3"/>
  <c r="G190" i="3" s="1"/>
  <c r="D190" i="3"/>
  <c r="C190" i="3"/>
  <c r="I190" i="3" s="1"/>
  <c r="F189" i="3"/>
  <c r="D189" i="3"/>
  <c r="C189" i="3"/>
  <c r="I189" i="3" s="1"/>
  <c r="I192" i="3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I177" i="3" l="1"/>
  <c r="L191" i="3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F18" i="4"/>
  <c r="B18" i="4"/>
  <c r="C18" i="4"/>
  <c r="D18" i="4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7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63" i="4"/>
  <c r="B64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E2" i="3" l="1"/>
  <c r="F2" i="3"/>
  <c r="L171" i="3"/>
  <c r="I175" i="3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O18" i="3" s="1"/>
  <c r="G207" i="3"/>
  <c r="G140" i="3"/>
  <c r="G149" i="3"/>
  <c r="G90" i="3"/>
  <c r="O111" i="3" s="1"/>
  <c r="Y536" i="2" s="1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29" i="3" l="1"/>
  <c r="Y534" i="2" s="1"/>
  <c r="O156" i="3"/>
  <c r="O213" i="3"/>
  <c r="O152" i="3"/>
  <c r="Y537" i="2" s="1"/>
  <c r="O71" i="3"/>
  <c r="Y535" i="2" s="1"/>
  <c r="O178" i="3"/>
  <c r="Y538" i="2"/>
  <c r="Y533" i="2"/>
  <c r="N30" i="3"/>
  <c r="N31" i="3" s="1"/>
  <c r="N32" i="3" s="1"/>
  <c r="N33" i="3" s="1"/>
  <c r="N34" i="3" s="1"/>
  <c r="N35" i="3" s="1"/>
  <c r="N36" i="3" s="1"/>
  <c r="N37" i="3" s="1"/>
  <c r="N38" i="3" s="1"/>
  <c r="N39" i="3" s="1"/>
  <c r="N29" i="3"/>
  <c r="O179" i="3"/>
  <c r="Y540" i="2" s="1"/>
  <c r="L223" i="3"/>
  <c r="I220" i="3"/>
  <c r="Y539" i="2"/>
  <c r="L222" i="3"/>
  <c r="L221" i="3"/>
  <c r="D229" i="3" l="1"/>
  <c r="F229" i="3" s="1"/>
  <c r="D67" i="4"/>
  <c r="D230" i="3"/>
  <c r="F230" i="3" s="1"/>
  <c r="D228" i="3"/>
  <c r="F228" i="3" s="1"/>
  <c r="D64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5" i="4" l="1"/>
  <c r="C65" i="4" s="1"/>
  <c r="D66" i="4"/>
  <c r="C66" i="4" s="1"/>
  <c r="H21" i="5" l="1"/>
  <c r="N40" i="3" l="1"/>
  <c r="N41" i="3" s="1"/>
  <c r="N42" i="3" s="1"/>
  <c r="N43" i="3" s="1"/>
  <c r="N44" i="3" s="1"/>
  <c r="N45" i="3" s="1"/>
  <c r="N46" i="3" s="1"/>
  <c r="N47" i="3" s="1"/>
  <c r="N48" i="3" s="1"/>
  <c r="N49" i="3" l="1"/>
  <c r="N50" i="3" s="1"/>
  <c r="N51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52" i="3" l="1"/>
  <c r="N124" i="3"/>
  <c r="N125" i="3" l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l="1"/>
  <c r="N177" i="3" l="1"/>
  <c r="C59" i="4" l="1"/>
  <c r="F59" i="4"/>
  <c r="B59" i="4"/>
  <c r="D59" i="4"/>
  <c r="N178" i="3"/>
  <c r="G59" i="4" l="1"/>
  <c r="N179" i="3"/>
  <c r="D60" i="4" l="1"/>
  <c r="B60" i="4"/>
  <c r="N180" i="3"/>
  <c r="N181" i="3" l="1"/>
  <c r="N182" i="3" l="1"/>
  <c r="B61" i="4"/>
  <c r="N183" i="3" l="1"/>
  <c r="C49" i="5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N184" i="3" l="1"/>
  <c r="I46" i="5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J42" i="5" s="1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60" i="5"/>
  <c r="J31" i="5"/>
  <c r="N185" i="3" l="1"/>
  <c r="J46" i="5"/>
  <c r="J54" i="5"/>
  <c r="J48" i="5"/>
  <c r="J55" i="5"/>
  <c r="J49" i="5"/>
  <c r="J40" i="5"/>
  <c r="J57" i="5"/>
  <c r="J43" i="5"/>
  <c r="Y541" i="2"/>
  <c r="Y544" i="2" s="1"/>
  <c r="N186" i="3" l="1"/>
  <c r="F62" i="4"/>
  <c r="B62" i="4"/>
  <c r="G62" i="4" s="1"/>
  <c r="Y545" i="2"/>
  <c r="J61" i="5"/>
  <c r="J62" i="5" s="1"/>
  <c r="J63" i="5" s="1"/>
  <c r="N187" i="3" l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C62" i="4"/>
  <c r="C216" i="3"/>
  <c r="N216" i="3" s="1"/>
  <c r="F216" i="3"/>
  <c r="Y548" i="2"/>
  <c r="Y1" i="2" s="1"/>
  <c r="G216" i="3" l="1"/>
  <c r="G220" i="3" s="1"/>
  <c r="F20" i="4"/>
  <c r="D20" i="4"/>
  <c r="B20" i="4"/>
  <c r="N217" i="3"/>
  <c r="N218" i="3" s="1"/>
  <c r="D62" i="4" s="1"/>
  <c r="B58" i="4"/>
  <c r="F58" i="4"/>
  <c r="C45" i="4"/>
  <c r="C20" i="4" l="1"/>
  <c r="C61" i="4"/>
  <c r="F60" i="4"/>
  <c r="G60" i="4" s="1"/>
  <c r="C60" i="4"/>
  <c r="F61" i="4"/>
  <c r="G61" i="4" s="1"/>
  <c r="D61" i="4"/>
  <c r="C49" i="4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54" i="4" l="1"/>
  <c r="G48" i="4"/>
  <c r="G34" i="4"/>
  <c r="G21" i="4"/>
  <c r="G32" i="4"/>
  <c r="G52" i="4"/>
  <c r="G35" i="4"/>
  <c r="G38" i="4"/>
  <c r="G43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63" i="4" l="1"/>
  <c r="G64" i="4"/>
  <c r="G65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<sst xmlns="http://schemas.openxmlformats.org/spreadsheetml/2006/main" count="1805" uniqueCount="949">
  <si>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</si>
  <si>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</si>
  <si>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</si>
  <si>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</si>
  <si>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</si>
  <si>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</si>
  <si>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</si>
  <si>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</si>
  <si>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</si>
  <si>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</si>
  <si>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</si>
  <si>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</si>
  <si>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</si>
  <si>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</si>
  <si>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</si>
  <si>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</si>
  <si>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</si>
  <si>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</si>
  <si>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</si>
  <si>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</si>
  <si>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</si>
  <si>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</si>
  <si>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</si>
  <si>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</si>
  <si>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</si>
  <si>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</si>
  <si>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</si>
  <si>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</si>
  <si>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</si>
  <si>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</si>
  <si>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</si>
  <si>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</si>
  <si>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</si>
  <si>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</si>
  <si>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</si>
  <si>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</si>
  <si>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</si>
  <si>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</si>
  <si>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</si>
  <si>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</si>
  <si>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</si>
  <si>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</si>
  <si>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</si>
  <si>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</si>
  <si>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</si>
  <si>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</si>
  <si>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</si>
  <si>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</si>
  <si>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</si>
  <si>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</si>
  <si>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</si>
  <si>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</si>
  <si>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</si>
  <si>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</si>
  <si>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</si>
  <si>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</si>
  <si>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</si>
  <si>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</si>
  <si>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</si>
  <si>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</si>
  <si>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</si>
  <si>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</si>
  <si>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</si>
  <si>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</si>
  <si>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</si>
  <si>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</si>
  <si>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</si>
  <si>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</si>
  <si>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</si>
  <si>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</si>
  <si>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</si>
  <si>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</si>
  <si>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</si>
  <si>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</si>
  <si>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</si>
  <si>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</si>
  <si>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</si>
  <si>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</si>
  <si>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</si>
  <si>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</si>
  <si>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</si>
  <si>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</si>
  <si>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</si>
  <si>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</si>
  <si>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</si>
  <si>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</si>
  <si>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</si>
  <si>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</si>
  <si>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</si>
  <si>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</si>
  <si>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</si>
  <si>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</si>
  <si>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</si>
  <si>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</si>
  <si>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</si>
  <si>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</si>
  <si>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</si>
  <si>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</si>
  <si>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</si>
  <si>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</si>
  <si>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</si>
  <si>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</si>
  <si>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</si>
  <si>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</si>
  <si>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</si>
  <si>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</si>
  <si>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</si>
  <si>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</si>
  <si>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</si>
  <si>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</si>
  <si>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</si>
  <si>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</si>
  <si>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</si>
  <si>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</si>
  <si>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</si>
  <si>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</si>
  <si>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</si>
  <si>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</si>
  <si>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</si>
  <si>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</si>
  <si>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</si>
  <si>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</si>
  <si>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</si>
  <si>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</si>
  <si>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</si>
  <si>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</si>
  <si>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</si>
  <si>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</si>
  <si>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</si>
  <si>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</si>
  <si>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</si>
  <si>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</si>
  <si>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</si>
  <si>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</si>
  <si>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</si>
  <si>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</si>
  <si>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</si>
  <si>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</si>
  <si>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</si>
  <si>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</si>
  <si>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</si>
  <si>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</si>
  <si>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</si>
  <si>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</si>
  <si>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</si>
  <si>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</si>
  <si>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</si>
  <si>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</si>
  <si>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</si>
  <si>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</si>
  <si>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</si>
  <si>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</si>
  <si>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</si>
  <si>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</si>
  <si>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</si>
  <si>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</si>
  <si>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</si>
  <si>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</si>
  <si>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</si>
  <si>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</si>
  <si>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</si>
  <si>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</si>
  <si>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</si>
  <si>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</si>
  <si>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</si>
  <si>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</si>
  <si>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</si>
  <si>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</si>
  <si>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</si>
  <si>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</si>
  <si>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</si>
  <si>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</si>
  <si>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</si>
  <si>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</si>
  <si>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</si>
  <si>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</si>
  <si>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</si>
  <si>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</si>
  <si>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</si>
  <si>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</si>
  <si>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</si>
  <si>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</si>
  <si>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</si>
  <si>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</si>
  <si>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</si>
  <si>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</si>
  <si>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</si>
  <si>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</si>
  <si>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</si>
  <si>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</si>
  <si>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</si>
  <si>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</si>
  <si>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</si>
  <si>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</si>
  <si>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</si>
  <si>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</si>
  <si>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</si>
  <si>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</si>
  <si>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</si>
  <si>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</si>
  <si>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</si>
  <si>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</si>
  <si>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</si>
  <si>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</si>
  <si>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</si>
  <si>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</si>
  <si>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</si>
  <si>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</si>
  <si>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</si>
  <si>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</si>
  <si>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</si>
  <si>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</si>
  <si>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</si>
  <si>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</si>
  <si>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</si>
  <si>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</si>
  <si>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</si>
  <si>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</si>
  <si>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</si>
  <si>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</si>
  <si>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</si>
  <si>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</si>
  <si>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</si>
  <si>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</si>
  <si>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</si>
  <si>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</si>
  <si>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</si>
  <si>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</si>
  <si>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</si>
  <si>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</si>
  <si>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</si>
  <si>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</si>
  <si>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</si>
  <si>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</si>
  <si>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</si>
  <si>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</si>
  <si>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</si>
  <si>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</si>
  <si>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</si>
  <si>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</si>
  <si>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</si>
  <si>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</si>
  <si>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</si>
  <si>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</si>
  <si>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</si>
  <si>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</si>
  <si>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</si>
  <si>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</si>
  <si>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</si>
  <si>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</si>
  <si>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</si>
  <si>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</si>
  <si>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</si>
  <si>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</si>
  <si>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</si>
  <si>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</si>
  <si>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</si>
  <si>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</si>
  <si>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</si>
  <si>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</si>
  <si>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</si>
  <si>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</si>
  <si>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</si>
  <si>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</si>
  <si>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</si>
  <si>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</si>
  <si>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</si>
  <si>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</si>
  <si>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</si>
  <si>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</si>
  <si>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</si>
  <si>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</si>
  <si>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</si>
  <si>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</si>
  <si>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</si>
  <si>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</si>
  <si>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</si>
  <si>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</si>
  <si>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</si>
  <si>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</si>
  <si>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</si>
  <si>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</si>
  <si>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</si>
  <si>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</si>
  <si>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</si>
  <si>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</si>
  <si>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</si>
  <si>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</si>
  <si>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</si>
  <si>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</si>
  <si>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</si>
  <si>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</si>
  <si>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</si>
  <si>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</si>
  <si>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</si>
  <si>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</si>
  <si>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</si>
  <si>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</si>
  <si>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</si>
  <si>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</si>
  <si>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</si>
  <si>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</si>
  <si>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</si>
  <si>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</si>
  <si>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</si>
  <si>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</si>
  <si>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</si>
  <si>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</si>
  <si>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</si>
  <si>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</si>
  <si>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</si>
  <si>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</si>
  <si>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</si>
  <si>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</si>
  <si>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</si>
  <si>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</si>
  <si>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</si>
  <si>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</si>
  <si>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</si>
  <si>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</si>
  <si>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</si>
  <si>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</si>
  <si>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</si>
  <si>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</si>
  <si>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</si>
  <si>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</si>
  <si>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</si>
  <si>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</si>
  <si>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</si>
  <si>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</si>
  <si>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</si>
  <si>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</si>
  <si>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</si>
  <si>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</si>
  <si>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</si>
  <si>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</si>
  <si>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</si>
  <si>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</si>
  <si>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</si>
  <si>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</si>
  <si>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</si>
  <si>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</si>
  <si>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</si>
  <si>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</si>
  <si>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</si>
  <si>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</si>
  <si>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</si>
  <si>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</si>
  <si>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</si>
  <si>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</si>
  <si>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</si>
  <si>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</si>
  <si>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</si>
  <si>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</si>
  <si>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</si>
  <si>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</si>
  <si>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</si>
  <si>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</si>
  <si>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</si>
  <si>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</si>
  <si>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</si>
  <si>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</si>
  <si>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</si>
  <si>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</si>
  <si>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</si>
  <si>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</si>
  <si>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</si>
  <si>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</si>
  <si>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</si>
  <si>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</si>
  <si>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</si>
  <si>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</si>
  <si>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</si>
  <si>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</si>
  <si>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</si>
  <si>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</si>
  <si>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</si>
  <si>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</si>
  <si>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</si>
  <si>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</si>
  <si>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</si>
  <si>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</si>
  <si>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</si>
  <si>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</si>
  <si>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</si>
  <si>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</si>
  <si>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</si>
  <si>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</si>
  <si>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</si>
  <si>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</si>
  <si>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</si>
  <si>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</si>
  <si>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</si>
  <si>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</si>
  <si>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</si>
  <si>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</si>
  <si>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</si>
  <si>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</si>
  <si>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</si>
  <si>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</si>
  <si>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</si>
  <si>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</si>
  <si>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</si>
  <si>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</si>
  <si>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</si>
  <si>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</si>
  <si>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</si>
  <si>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</si>
  <si>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</si>
  <si>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</si>
  <si>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</si>
  <si>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</si>
  <si>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</si>
  <si>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</si>
  <si>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</si>
  <si>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</si>
  <si>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</si>
  <si>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</si>
  <si>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</si>
  <si>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</si>
  <si>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</si>
  <si>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</si>
  <si>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</si>
  <si>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</si>
  <si>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</si>
  <si>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</si>
  <si>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</si>
  <si>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</si>
  <si>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</si>
  <si>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</si>
  <si>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</si>
  <si>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</si>
  <si>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</si>
  <si>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</si>
  <si>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</si>
  <si>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</si>
  <si>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</si>
  <si>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</si>
  <si>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</si>
  <si>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</si>
  <si>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</si>
  <si>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</si>
  <si>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</si>
  <si>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</si>
  <si>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</si>
  <si>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</si>
  <si>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</si>
  <si>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</si>
  <si>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</si>
  <si>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</si>
  <si>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</si>
  <si>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</si>
  <si>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</si>
  <si>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</si>
  <si>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</si>
  <si>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</si>
  <si>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</si>
  <si>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</si>
  <si>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</si>
  <si>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</si>
  <si>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</si>
  <si>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</si>
  <si>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</si>
  <si>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</si>
  <si>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</si>
  <si>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</si>
  <si>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</si>
  <si>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</si>
  <si>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</si>
  <si>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</si>
  <si>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</si>
  <si>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</si>
  <si>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</si>
  <si>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</si>
  <si>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</si>
  <si>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</si>
  <si>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</si>
  <si>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</si>
  <si>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</si>
  <si>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</si>
  <si>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</si>
  <si>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</si>
  <si>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</si>
  <si>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</si>
  <si>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</si>
  <si>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</si>
  <si>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</si>
  <si>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</si>
  <si>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</si>
  <si>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</si>
  <si>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</si>
  <si>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</si>
  <si>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</si>
  <si>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</si>
  <si>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</si>
  <si>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</si>
  <si>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</si>
  <si>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</si>
  <si>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</si>
  <si>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</si>
  <si>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</si>
  <si>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</si>
  <si>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</si>
  <si>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</si>
  <si>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</si>
  <si>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</si>
  <si>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</si>
  <si>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</si>
  <si>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</si>
  <si>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</si>
  <si>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</si>
  <si>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</si>
  <si>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</si>
  <si>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</si>
  <si>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</si>
  <si>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</si>
  <si>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</si>
  <si>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</si>
  <si>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</si>
  <si>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</si>
  <si>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</si>
  <si>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</si>
  <si>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</si>
  <si>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</si>
  <si>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</si>
  <si>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</si>
  <si>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</si>
  <si>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</si>
  <si>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</si>
  <si>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</si>
  <si>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</si>
  <si>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</si>
  <si>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</si>
  <si>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</si>
  <si>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</si>
  <si>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</si>
  <si>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</si>
  <si>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</si>
  <si>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</si>
  <si>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</si>
  <si>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</si>
  <si>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</si>
  <si>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</si>
  <si>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</si>
  <si>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</si>
  <si>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</si>
  <si>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</si>
  <si>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</si>
  <si>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</si>
  <si>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</si>
  <si>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</si>
  <si>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</si>
  <si>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</si>
  <si>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</si>
  <si>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</si>
  <si>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</si>
  <si>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</si>
  <si>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</si>
  <si>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</si>
  <si>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</si>
  <si>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</si>
  <si>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</si>
  <si>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</si>
  <si>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</si>
  <si>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</si>
  <si>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</si>
  <si>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</si>
  <si>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</si>
  <si>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</si>
  <si>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</si>
  <si>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</si>
  <si>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</si>
  <si>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</si>
  <si>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</si>
  <si>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</si>
  <si>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</si>
  <si>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</si>
  <si>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</si>
  <si>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</si>
  <si>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</si>
  <si>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</si>
  <si>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</si>
  <si>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</si>
  <si>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</si>
  <si>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</si>
  <si>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</si>
  <si>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</si>
  <si>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</si>
  <si>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</si>
  <si>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</si>
  <si>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</si>
  <si>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</si>
  <si>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</si>
  <si>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</si>
  <si>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</si>
  <si>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</si>
  <si>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</si>
  <si>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</si>
  <si>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</si>
  <si>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</si>
  <si>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</si>
  <si>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</si>
  <si>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</si>
  <si>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</si>
  <si>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</si>
  <si>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</si>
  <si>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</si>
  <si>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</si>
  <si>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</si>
  <si>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</si>
  <si>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</si>
  <si>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</si>
  <si>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</si>
  <si>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</si>
  <si>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</si>
  <si>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</si>
  <si>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</si>
  <si>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</si>
  <si>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</si>
  <si>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</si>
  <si>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</si>
  <si>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</si>
  <si>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</si>
  <si>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</si>
  <si>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</si>
  <si>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</si>
  <si>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</si>
  <si>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</si>
  <si>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</si>
  <si>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</si>
  <si>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</si>
  <si>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</si>
  <si>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</si>
  <si>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</si>
  <si>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</si>
  <si>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</si>
  <si>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</si>
  <si>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</si>
  <si>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</si>
  <si>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</si>
  <si>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</si>
  <si>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</si>
  <si>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</si>
  <si>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</si>
  <si>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</si>
  <si>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</si>
  <si>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</si>
  <si>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</si>
  <si>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</si>
  <si>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</si>
  <si>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</si>
  <si>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</si>
  <si>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</si>
  <si>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</si>
  <si>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</si>
  <si>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</si>
  <si>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</si>
  <si>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</si>
  <si>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</si>
  <si>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</si>
  <si>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</si>
  <si>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</si>
  <si>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</si>
  <si>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</si>
  <si>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</si>
  <si>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</si>
  <si>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</si>
  <si>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</si>
  <si>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</si>
  <si>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</si>
  <si>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</si>
  <si>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</si>
  <si>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</si>
  <si>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</si>
  <si>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</si>
  <si>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</si>
  <si>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</si>
  <si>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</si>
  <si>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</si>
  <si>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</si>
  <si>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</si>
  <si>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</si>
  <si>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</si>
  <si>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</si>
  <si>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</si>
  <si>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</si>
  <si>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</si>
  <si>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</si>
  <si>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</si>
  <si>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</si>
  <si>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</si>
  <si>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</si>
  <si>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</si>
  <si>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</si>
  <si>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</si>
  <si>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</si>
  <si>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</si>
  <si>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</si>
  <si>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</si>
  <si>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</si>
  <si>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</si>
  <si>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</si>
  <si>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</si>
  <si>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</si>
  <si>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</si>
  <si>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</si>
  <si>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</si>
  <si>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</si>
  <si>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</si>
  <si>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</si>
  <si>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</si>
  <si>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</si>
  <si>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</si>
  <si>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</si>
  <si>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</si>
  <si>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</si>
  <si>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</si>
  <si>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</si>
  <si>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</si>
  <si>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</si>
  <si>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</si>
  <si>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</si>
  <si>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</si>
  <si>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</si>
  <si>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</si>
  <si>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</si>
  <si>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</si>
  <si>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</si>
  <si>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</si>
  <si>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</si>
  <si>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</si>
  <si>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</si>
  <si>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</si>
  <si>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</si>
  <si>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</si>
  <si>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</si>
  <si>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</si>
  <si>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</si>
  <si>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</si>
  <si>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</si>
  <si>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</si>
  <si>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</si>
  <si>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</si>
  <si>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</si>
  <si>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</si>
  <si>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</si>
  <si>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</si>
  <si>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</si>
  <si>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</si>
  <si>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</si>
  <si>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</si>
  <si>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</si>
  <si>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</si>
  <si>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</si>
  <si>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</si>
  <si>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</si>
  <si>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</si>
  <si>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</si>
  <si>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</si>
  <si>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</si>
  <si>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</si>
  <si>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</si>
  <si>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</si>
  <si>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</si>
  <si>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</si>
  <si>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</si>
  <si>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</si>
  <si>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</si>
  <si>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</si>
  <si>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</si>
  <si>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</si>
  <si>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</si>
  <si>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</si>
  <si>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</si>
  <si>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</si>
  <si>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</si>
  <si>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</si>
  <si>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</si>
  <si>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</si>
  <si>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</si>
  <si>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</si>
  <si>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</si>
  <si>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</si>
  <si>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</si>
  <si>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</si>
  <si>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</si>
  <si>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</si>
  <si>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</si>
  <si>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</si>
  <si>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</si>
  <si>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</si>
  <si>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</si>
  <si>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</si>
  <si>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</si>
  <si>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</si>
  <si>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</si>
  <si>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</si>
  <si>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</si>
  <si>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</si>
  <si>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</si>
  <si>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</si>
  <si>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</si>
  <si>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</si>
  <si>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</si>
  <si>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</si>
  <si>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</si>
  <si>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</si>
  <si>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</si>
  <si>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</si>
  <si>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</si>
  <si>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</si>
  <si>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</si>
  <si>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</si>
  <si>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</si>
  <si>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</si>
  <si>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</si>
  <si>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</si>
  <si>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</si>
  <si>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</si>
  <si>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</si>
  <si>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</si>
  <si>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</si>
  <si>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</si>
  <si>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</si>
  <si>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</si>
  <si>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</si>
  <si>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</si>
  <si>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</si>
  <si>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</si>
  <si>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</si>
  <si>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</si>
  <si>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</si>
  <si>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</si>
  <si>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</si>
  <si>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</si>
  <si>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</si>
  <si>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</si>
  <si>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</si>
  <si>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</si>
  <si>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</si>
  <si>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</si>
  <si>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</si>
  <si>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</si>
  <si>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</si>
  <si>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</si>
  <si>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</si>
  <si>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</si>
  <si>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</si>
  <si>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</si>
  <si>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</si>
  <si>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</si>
  <si>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</si>
  <si>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</si>
  <si>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</si>
  <si>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</si>
  <si>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</si>
  <si>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</si>
  <si>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</si>
  <si>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</si>
  <si>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</si>
  <si>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</si>
  <si>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</si>
  <si>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</si>
  <si>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</si>
  <si>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</si>
  <si>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</si>
  <si>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</si>
  <si>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</si>
  <si>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</si>
  <si>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</si>
  <si>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</si>
  <si>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</si>
  <si>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</si>
  <si>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</si>
  <si>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</si>
  <si>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</si>
  <si>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</si>
  <si>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</si>
  <si>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</si>
  <si>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</si>
  <si>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</si>
  <si>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</si>
  <si>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</si>
  <si>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</si>
  <si>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</si>
  <si>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</si>
  <si>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</si>
  <si>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</si>
  <si>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</si>
  <si>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</si>
  <si>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</si>
  <si>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</si>
  <si>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</si>
  <si>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</si>
  <si>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</si>
  <si>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</si>
  <si>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</si>
  <si>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</si>
  <si>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</si>
  <si>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</si>
  <si>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</si>
  <si>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</si>
  <si>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</si>
  <si>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</si>
  <si>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</si>
  <si>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</si>
  <si>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</si>
  <si>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</si>
  <si>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</si>
  <si>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</si>
  <si>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</si>
  <si>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</si>
  <si>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</si>
  <si>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</si>
  <si>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</si>
  <si>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</si>
  <si>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</si>
  <si>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</si>
  <si>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</si>
  <si>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</si>
  <si>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</si>
  <si>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</si>
  <si>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</si>
  <si>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</si>
  <si>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</si>
  <si>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</si>
  <si>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</si>
  <si>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</si>
  <si>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</si>
  <si>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</si>
  <si>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</si>
  <si>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</si>
  <si>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</si>
  <si>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</si>
  <si>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</si>
  <si>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</si>
  <si>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</si>
  <si>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</si>
  <si>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</si>
  <si>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</si>
  <si>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</si>
  <si>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</si>
  <si>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</si>
  <si>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</si>
  <si>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</si>
  <si>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</si>
  <si>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>Flexpipe Inc</t>
  </si>
  <si>
    <t xml:space="preserve">  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</si>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</sst>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8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32" fillId="23" borderId="34" xfId="0" applyFont="1" applyFill="1" applyBorder="1" applyAlignment="1" applyProtection="1">
      <alignment horizontal="center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82" fillId="20" borderId="95" xfId="0" applyFont="1" applyFill="1" applyBorder="1" applyAlignment="1" applyProtection="1">
      <alignment horizontal="center"/>
      <protection locked="0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55" xfId="0" applyFont="1" applyFill="1" applyBorder="1" applyAlignment="1" applyProtection="1">
      <alignment horizontal="center"/>
      <protection locked="0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169" fontId="2" fillId="23" borderId="7" xfId="3" applyNumberFormat="1" applyFont="1" applyFill="1" applyBorder="1" applyAlignment="1" applyProtection="1">
      <alignment horizontal="right" vertical="center"/>
      <protection locked="0"/>
    </xf>
    <xf numFmtId="1" fontId="2" fillId="23" borderId="7" xfId="7" applyNumberFormat="1" applyFont="1" applyFill="1" applyBorder="1" applyAlignment="1" applyProtection="1">
      <alignment horizontal="center" vertical="center"/>
      <protection locked="0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tabSelected="1" zoomScaleNormal="100" zoomScaleSheetLayoutView="100" workbookViewId="0">
      <pane ySplit="1" topLeftCell="A437" activePane="bottomLeft" state="frozen"/>
      <selection pane="bottomLeft" activeCell="F448" sqref="F448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40" t="s">
        <v>481</v>
      </c>
      <c r="V1" s="1040"/>
      <c r="W1" s="1040"/>
      <c r="X1" s="1040"/>
      <c r="Y1" s="1226">
        <f>Y548</f>
        <v>1502.53</v>
      </c>
      <c r="Z1" s="1226"/>
      <c r="AA1" s="1226"/>
      <c r="AB1" s="458"/>
      <c r="AC1" s="41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4"/>
      <c r="B11" s="254"/>
      <c r="C11" s="254"/>
      <c r="D11" s="1206"/>
      <c r="E11" s="1207"/>
      <c r="F11" s="1207"/>
      <c r="G11" s="1207"/>
      <c r="H11" s="1207"/>
      <c r="I11" s="254"/>
      <c r="J11" s="1205"/>
      <c r="K11" s="1204"/>
      <c r="L11" s="1204"/>
      <c r="M11" s="1204"/>
      <c r="N11" s="1204"/>
      <c r="O11" s="254"/>
      <c r="P11" s="254"/>
      <c r="Q11" s="1208"/>
      <c r="R11" s="1209"/>
      <c r="S11" s="1209"/>
      <c r="T11" s="1209"/>
      <c r="U11" s="1209"/>
      <c r="V11" s="254"/>
      <c r="W11" s="1203"/>
      <c r="X11" s="1204"/>
      <c r="Y11" s="1204"/>
      <c r="Z11" s="1204"/>
      <c r="AA11" s="1204"/>
      <c r="AB11" s="254"/>
    </row>
    <row r="12" spans="1:29">
      <c r="A12" s="464"/>
      <c r="B12" s="254"/>
      <c r="C12" s="254"/>
      <c r="D12" s="1207"/>
      <c r="E12" s="1207"/>
      <c r="F12" s="1207"/>
      <c r="G12" s="1207"/>
      <c r="H12" s="1207"/>
      <c r="I12" s="254"/>
      <c r="J12" s="1204"/>
      <c r="K12" s="1204"/>
      <c r="L12" s="1204"/>
      <c r="M12" s="1204"/>
      <c r="N12" s="1204"/>
      <c r="O12" s="254"/>
      <c r="P12" s="254"/>
      <c r="Q12" s="1209"/>
      <c r="R12" s="1209"/>
      <c r="S12" s="1209"/>
      <c r="T12" s="1209"/>
      <c r="U12" s="1209"/>
      <c r="V12" s="254"/>
      <c r="W12" s="1204"/>
      <c r="X12" s="1204"/>
      <c r="Y12" s="1204"/>
      <c r="Z12" s="1204"/>
      <c r="AA12" s="1204"/>
      <c r="AB12" s="254"/>
    </row>
    <row r="13" spans="1:29">
      <c r="A13" s="464"/>
      <c r="B13" s="254"/>
      <c r="C13" s="254"/>
      <c r="D13" s="1207"/>
      <c r="E13" s="1207"/>
      <c r="F13" s="1207"/>
      <c r="G13" s="1207"/>
      <c r="H13" s="1207"/>
      <c r="I13" s="254"/>
      <c r="J13" s="1204"/>
      <c r="K13" s="1204"/>
      <c r="L13" s="1204"/>
      <c r="M13" s="1204"/>
      <c r="N13" s="1204"/>
      <c r="O13" s="254"/>
      <c r="P13" s="254"/>
      <c r="Q13" s="1209"/>
      <c r="R13" s="1209"/>
      <c r="S13" s="1209"/>
      <c r="T13" s="1209"/>
      <c r="U13" s="1209"/>
      <c r="V13" s="254"/>
      <c r="W13" s="1204"/>
      <c r="X13" s="1204"/>
      <c r="Y13" s="1204"/>
      <c r="Z13" s="1204"/>
      <c r="AA13" s="1204"/>
      <c r="AB13" s="254"/>
    </row>
    <row r="14" spans="1:29">
      <c r="A14" s="464"/>
      <c r="B14" s="254"/>
      <c r="C14" s="254"/>
      <c r="D14" s="1207"/>
      <c r="E14" s="1207"/>
      <c r="F14" s="1207"/>
      <c r="G14" s="1207"/>
      <c r="H14" s="1207"/>
      <c r="I14" s="254"/>
      <c r="J14" s="1204"/>
      <c r="K14" s="1204"/>
      <c r="L14" s="1204"/>
      <c r="M14" s="1204"/>
      <c r="N14" s="1204"/>
      <c r="O14" s="254"/>
      <c r="P14" s="254"/>
      <c r="Q14" s="1209"/>
      <c r="R14" s="1209"/>
      <c r="S14" s="1209"/>
      <c r="T14" s="1209"/>
      <c r="U14" s="120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5"/>
      <c r="B15" s="402"/>
      <c r="C15" s="402"/>
      <c r="D15" s="402"/>
      <c r="E15" s="402"/>
      <c r="F15" s="402"/>
      <c r="G15" s="402"/>
      <c r="H15" s="402"/>
      <c r="I15" s="402"/>
      <c r="J15" s="1204"/>
      <c r="K15" s="1204"/>
      <c r="L15" s="1204"/>
      <c r="M15" s="1204"/>
      <c r="N15" s="1204"/>
      <c r="O15" s="402"/>
      <c r="P15" s="402"/>
      <c r="Q15" s="1209"/>
      <c r="R15" s="1209"/>
      <c r="S15" s="1209"/>
      <c r="T15" s="1209"/>
      <c r="U15" s="1209"/>
      <c r="V15" s="402"/>
      <c r="W15" s="402"/>
      <c r="X15" s="402"/>
      <c r="Y15" s="402"/>
      <c r="Z15" s="402"/>
      <c r="AA15" s="402"/>
      <c r="AB15" s="402"/>
      <c r="AC15" s="416"/>
    </row>
    <row r="16" spans="1:29" ht="18">
      <c r="A16" s="464"/>
      <c r="B16" s="400"/>
      <c r="C16" s="400"/>
      <c r="D16" s="881"/>
      <c r="E16" s="882"/>
      <c r="F16" s="882"/>
      <c r="G16" s="882"/>
      <c r="H16" s="882"/>
      <c r="I16" s="401"/>
      <c r="J16" s="881"/>
      <c r="K16" s="882"/>
      <c r="L16" s="882"/>
      <c r="M16" s="882"/>
      <c r="N16" s="882"/>
      <c r="O16" s="401"/>
      <c r="P16" s="401"/>
      <c r="Q16" s="881"/>
      <c r="R16" s="882"/>
      <c r="S16" s="882"/>
      <c r="T16" s="882"/>
      <c r="U16" s="882"/>
      <c r="V16" s="401"/>
      <c r="W16" s="881"/>
      <c r="X16" s="882"/>
      <c r="Y16" s="882"/>
      <c r="Z16" s="882"/>
      <c r="AA16" s="882"/>
      <c r="AB16" s="401"/>
    </row>
    <row r="17" spans="1:29" ht="5.0999999999999996" customHeight="1">
      <c r="A17" s="464"/>
      <c r="B17" s="408"/>
      <c r="C17" s="408"/>
      <c r="D17" s="882"/>
      <c r="E17" s="882"/>
      <c r="F17" s="882"/>
      <c r="G17" s="882"/>
      <c r="H17" s="882"/>
      <c r="I17" s="459"/>
      <c r="J17" s="882"/>
      <c r="K17" s="882"/>
      <c r="L17" s="882"/>
      <c r="M17" s="882"/>
      <c r="N17" s="882"/>
      <c r="O17" s="459"/>
      <c r="P17" s="459"/>
      <c r="Q17" s="882"/>
      <c r="R17" s="882"/>
      <c r="S17" s="882"/>
      <c r="T17" s="882"/>
      <c r="U17" s="882"/>
      <c r="V17" s="459"/>
      <c r="W17" s="882"/>
      <c r="X17" s="882"/>
      <c r="Y17" s="882"/>
      <c r="Z17" s="882"/>
      <c r="AA17" s="882"/>
      <c r="AB17" s="408"/>
    </row>
    <row r="18" spans="1:29" ht="34.9" customHeight="1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5"/>
      <c r="B19" s="402"/>
      <c r="C19" s="268"/>
      <c r="D19" s="1018" t="s">
        <v>16</v>
      </c>
      <c r="E19" s="1018"/>
      <c r="F19" s="1018"/>
      <c r="G19" s="1018"/>
      <c r="H19" s="1018"/>
      <c r="I19" s="1018"/>
      <c r="J19" s="1018"/>
      <c r="K19" s="1018"/>
      <c r="L19" s="1018"/>
      <c r="M19" s="1018"/>
      <c r="N19" s="1018"/>
      <c r="O19" s="1018"/>
      <c r="P19" s="1018"/>
      <c r="Q19" s="1018"/>
      <c r="R19" s="1018"/>
      <c r="S19" s="1018"/>
      <c r="T19" s="1018"/>
      <c r="U19" s="1018"/>
      <c r="V19" s="1018"/>
      <c r="W19" s="1018"/>
      <c r="X19" s="1018"/>
      <c r="Y19" s="1018"/>
      <c r="Z19" s="1018"/>
      <c r="AA19" s="1018"/>
      <c r="AB19" s="402"/>
      <c r="AC19" s="416"/>
    </row>
    <row r="20" spans="1:29" ht="27" customHeight="1">
      <c r="A20" s="464"/>
      <c r="B20" s="1045" t="s">
        <v>840</v>
      </c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  <c r="AA20" s="1045"/>
      <c r="AB20" s="1045"/>
    </row>
    <row r="21" spans="1:29" ht="27" customHeight="1">
      <c r="A21" s="464"/>
      <c r="B21" s="254"/>
      <c r="C21" s="254"/>
      <c r="D21" s="868" t="s">
        <v>373</v>
      </c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870"/>
      <c r="P21" s="270"/>
      <c r="Q21" s="270"/>
      <c r="R21" s="271"/>
      <c r="S21" s="271"/>
      <c r="T21" s="1041"/>
      <c r="U21" s="1041"/>
      <c r="V21" s="1041"/>
      <c r="W21" s="1041"/>
      <c r="X21" s="1041"/>
      <c r="Y21" s="1041"/>
      <c r="Z21" s="1041"/>
      <c r="AA21" s="1041"/>
      <c r="AB21" s="254"/>
    </row>
    <row r="22" spans="1:29" s="488" customFormat="1" ht="16.899999999999999" customHeight="1">
      <c r="A22" s="484"/>
      <c r="B22" s="485"/>
      <c r="C22" s="485"/>
      <c r="D22" s="895" t="s">
        <v>220</v>
      </c>
      <c r="E22" s="896"/>
      <c r="F22" s="897"/>
      <c r="G22" s="1044"/>
      <c r="H22" s="1044"/>
      <c r="I22" s="824" t="s">
        <v>819</v>
      </c>
      <c r="J22" s="824"/>
      <c r="K22" s="825"/>
      <c r="L22" s="853">
        <v>6.5</v>
      </c>
      <c r="M22" s="854"/>
      <c r="N22" s="871">
        <v>0</v>
      </c>
      <c r="O22" s="872"/>
      <c r="P22" s="486"/>
      <c r="Q22" s="486"/>
      <c r="R22" s="1012"/>
      <c r="S22" s="1012"/>
      <c r="T22" s="1021"/>
      <c r="U22" s="1021"/>
      <c r="V22" s="1021"/>
      <c r="W22" s="1021"/>
      <c r="X22" s="1042"/>
      <c r="Y22" s="1042"/>
      <c r="Z22" s="1042"/>
      <c r="AA22" s="1042"/>
      <c r="AB22" s="485"/>
      <c r="AC22" s="487"/>
    </row>
    <row r="23" spans="1:29" s="488" customFormat="1" ht="16.899999999999999" customHeight="1">
      <c r="A23" s="484"/>
      <c r="B23" s="485"/>
      <c r="C23" s="485"/>
      <c r="D23" s="990" t="s">
        <v>433</v>
      </c>
      <c r="E23" s="1043"/>
      <c r="F23" s="992"/>
      <c r="G23" s="875"/>
      <c r="H23" s="876"/>
      <c r="I23" s="824" t="s">
        <v>820</v>
      </c>
      <c r="J23" s="824"/>
      <c r="K23" s="825"/>
      <c r="L23" s="853">
        <v>6.5</v>
      </c>
      <c r="M23" s="854"/>
      <c r="N23" s="865">
        <v>0</v>
      </c>
      <c r="O23" s="866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>
      <c r="A24" s="484"/>
      <c r="B24" s="485"/>
      <c r="C24" s="485"/>
      <c r="D24" s="807" t="s">
        <v>817</v>
      </c>
      <c r="E24" s="857"/>
      <c r="F24" s="809"/>
      <c r="G24" s="875"/>
      <c r="H24" s="876"/>
      <c r="I24" s="824" t="s">
        <v>821</v>
      </c>
      <c r="J24" s="824"/>
      <c r="K24" s="825"/>
      <c r="L24" s="853">
        <v>8.75</v>
      </c>
      <c r="M24" s="854"/>
      <c r="N24" s="865">
        <v>0</v>
      </c>
      <c r="O24" s="866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>
      <c r="A25" s="484"/>
      <c r="B25" s="492"/>
      <c r="C25" s="492"/>
      <c r="D25" s="990" t="s">
        <v>221</v>
      </c>
      <c r="E25" s="991"/>
      <c r="F25" s="992"/>
      <c r="G25" s="864"/>
      <c r="H25" s="864"/>
      <c r="I25" s="824" t="s">
        <v>822</v>
      </c>
      <c r="J25" s="824"/>
      <c r="K25" s="825"/>
      <c r="L25" s="853">
        <v>6.5</v>
      </c>
      <c r="M25" s="854"/>
      <c r="N25" s="855">
        <v>40</v>
      </c>
      <c r="O25" s="856"/>
      <c r="P25" s="486"/>
      <c r="Q25" s="486"/>
      <c r="R25" s="1012"/>
      <c r="S25" s="1012"/>
      <c r="T25" s="1008"/>
      <c r="U25" s="1008"/>
      <c r="V25" s="1008"/>
      <c r="W25" s="1008"/>
      <c r="X25" s="1016"/>
      <c r="Y25" s="1016"/>
      <c r="Z25" s="1016"/>
      <c r="AA25" s="1016"/>
      <c r="AB25" s="485"/>
      <c r="AC25" s="487"/>
    </row>
    <row r="26" spans="1:29" s="488" customFormat="1" ht="16.899999999999999" customHeight="1">
      <c r="A26" s="484"/>
      <c r="B26" s="492"/>
      <c r="C26" s="492"/>
      <c r="D26" s="807" t="s">
        <v>813</v>
      </c>
      <c r="E26" s="808"/>
      <c r="F26" s="867"/>
      <c r="G26" s="860"/>
      <c r="H26" s="860"/>
      <c r="I26" s="824" t="s">
        <v>829</v>
      </c>
      <c r="J26" s="824"/>
      <c r="K26" s="825"/>
      <c r="L26" s="862">
        <v>8.75</v>
      </c>
      <c r="M26" s="863"/>
      <c r="N26" s="861">
        <v>0</v>
      </c>
      <c r="O26" s="856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>
      <c r="A27" s="484"/>
      <c r="B27" s="485"/>
      <c r="C27" s="485"/>
      <c r="D27" s="990" t="s">
        <v>222</v>
      </c>
      <c r="E27" s="991"/>
      <c r="F27" s="992"/>
      <c r="G27" s="880"/>
      <c r="H27" s="880"/>
      <c r="I27" s="824" t="s">
        <v>823</v>
      </c>
      <c r="J27" s="824"/>
      <c r="K27" s="825"/>
      <c r="L27" s="853">
        <v>6.5</v>
      </c>
      <c r="M27" s="854"/>
      <c r="N27" s="855">
        <v>0</v>
      </c>
      <c r="O27" s="856"/>
      <c r="P27" s="486"/>
      <c r="Q27" s="486"/>
      <c r="R27" s="1012"/>
      <c r="S27" s="1012"/>
      <c r="T27" s="1008"/>
      <c r="U27" s="1008"/>
      <c r="V27" s="1008"/>
      <c r="W27" s="1008"/>
      <c r="X27" s="1016"/>
      <c r="Y27" s="1016"/>
      <c r="Z27" s="1016"/>
      <c r="AA27" s="1016"/>
      <c r="AB27" s="485"/>
      <c r="AC27" s="487"/>
    </row>
    <row r="28" spans="1:29" s="488" customFormat="1" ht="16.899999999999999" customHeight="1">
      <c r="A28" s="484"/>
      <c r="B28" s="485"/>
      <c r="C28" s="485"/>
      <c r="D28" s="990" t="s">
        <v>224</v>
      </c>
      <c r="E28" s="991"/>
      <c r="F28" s="992"/>
      <c r="G28" s="997"/>
      <c r="H28" s="997"/>
      <c r="I28" s="824" t="s">
        <v>824</v>
      </c>
      <c r="J28" s="824"/>
      <c r="K28" s="825"/>
      <c r="L28" s="853">
        <v>6.5</v>
      </c>
      <c r="M28" s="854"/>
      <c r="N28" s="855">
        <v>0</v>
      </c>
      <c r="O28" s="856"/>
      <c r="P28" s="486"/>
      <c r="Q28" s="486"/>
      <c r="R28" s="1012"/>
      <c r="S28" s="1012"/>
      <c r="T28" s="1008"/>
      <c r="U28" s="1008"/>
      <c r="V28" s="1008"/>
      <c r="W28" s="1008"/>
      <c r="X28" s="1016"/>
      <c r="Y28" s="1016"/>
      <c r="Z28" s="1016"/>
      <c r="AA28" s="1016"/>
      <c r="AB28" s="485"/>
      <c r="AC28" s="487"/>
    </row>
    <row r="29" spans="1:29" s="488" customFormat="1" ht="16.899999999999999" customHeight="1">
      <c r="A29" s="484"/>
      <c r="B29" s="485"/>
      <c r="C29" s="485"/>
      <c r="D29" s="990" t="s">
        <v>239</v>
      </c>
      <c r="E29" s="991"/>
      <c r="F29" s="992"/>
      <c r="G29" s="998"/>
      <c r="H29" s="876"/>
      <c r="I29" s="824" t="s">
        <v>825</v>
      </c>
      <c r="J29" s="824"/>
      <c r="K29" s="825"/>
      <c r="L29" s="853">
        <v>6.5</v>
      </c>
      <c r="M29" s="854"/>
      <c r="N29" s="873">
        <v>0</v>
      </c>
      <c r="O29" s="874"/>
      <c r="P29" s="486"/>
      <c r="Q29" s="486"/>
      <c r="R29" s="489"/>
      <c r="S29" s="489"/>
      <c r="T29" s="1008"/>
      <c r="U29" s="1008"/>
      <c r="V29" s="1008"/>
      <c r="W29" s="1008"/>
      <c r="X29" s="1016"/>
      <c r="Y29" s="1016"/>
      <c r="Z29" s="1016"/>
      <c r="AA29" s="1016"/>
      <c r="AB29" s="485"/>
      <c r="AC29" s="487"/>
    </row>
    <row r="30" spans="1:29" s="488" customFormat="1" ht="16.899999999999999" customHeight="1">
      <c r="A30" s="484"/>
      <c r="B30" s="485"/>
      <c r="C30" s="485"/>
      <c r="D30" s="990" t="s">
        <v>223</v>
      </c>
      <c r="E30" s="991"/>
      <c r="F30" s="992"/>
      <c r="G30" s="877"/>
      <c r="H30" s="877"/>
      <c r="I30" s="824" t="s">
        <v>826</v>
      </c>
      <c r="J30" s="824"/>
      <c r="K30" s="825"/>
      <c r="L30" s="853">
        <v>7</v>
      </c>
      <c r="M30" s="854"/>
      <c r="N30" s="855">
        <v>0</v>
      </c>
      <c r="O30" s="856"/>
      <c r="P30" s="486"/>
      <c r="Q30" s="486"/>
      <c r="R30" s="1017"/>
      <c r="S30" s="1017"/>
      <c r="T30" s="1008"/>
      <c r="U30" s="1008"/>
      <c r="V30" s="1008"/>
      <c r="W30" s="1008"/>
      <c r="X30" s="1008"/>
      <c r="Y30" s="1008"/>
      <c r="Z30" s="1008"/>
      <c r="AA30" s="1008"/>
      <c r="AB30" s="485"/>
      <c r="AC30" s="487"/>
    </row>
    <row r="31" spans="1:29" s="488" customFormat="1" ht="16.899999999999999" customHeight="1">
      <c r="A31" s="484"/>
      <c r="B31" s="485"/>
      <c r="C31" s="485"/>
      <c r="D31" s="807" t="s">
        <v>818</v>
      </c>
      <c r="E31" s="808"/>
      <c r="F31" s="809"/>
      <c r="G31" s="877"/>
      <c r="H31" s="877"/>
      <c r="I31" s="824" t="s">
        <v>935</v>
      </c>
      <c r="J31" s="824"/>
      <c r="K31" s="825"/>
      <c r="L31" s="853">
        <v>11.5</v>
      </c>
      <c r="M31" s="854"/>
      <c r="N31" s="855">
        <v>0</v>
      </c>
      <c r="O31" s="856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>
      <c r="A32" s="484"/>
      <c r="B32" s="485"/>
      <c r="C32" s="485"/>
      <c r="D32" s="990" t="s">
        <v>409</v>
      </c>
      <c r="E32" s="991"/>
      <c r="F32" s="992"/>
      <c r="G32" s="878"/>
      <c r="H32" s="878"/>
      <c r="I32" s="824" t="s">
        <v>827</v>
      </c>
      <c r="J32" s="824"/>
      <c r="K32" s="825"/>
      <c r="L32" s="853">
        <v>8</v>
      </c>
      <c r="M32" s="854"/>
      <c r="N32" s="855">
        <v>0</v>
      </c>
      <c r="O32" s="856"/>
      <c r="P32" s="486"/>
      <c r="Q32" s="486"/>
      <c r="R32" s="493"/>
      <c r="S32" s="493"/>
      <c r="T32" s="996"/>
      <c r="U32" s="996"/>
      <c r="V32" s="996"/>
      <c r="W32" s="996"/>
      <c r="X32" s="996"/>
      <c r="Y32" s="996"/>
      <c r="Z32" s="996"/>
      <c r="AA32" s="996"/>
      <c r="AB32" s="485"/>
      <c r="AC32" s="487"/>
    </row>
    <row r="33" spans="1:34" s="488" customFormat="1" ht="16.899999999999999" customHeight="1">
      <c r="A33" s="484"/>
      <c r="B33" s="485"/>
      <c r="C33" s="485"/>
      <c r="D33" s="807" t="s">
        <v>832</v>
      </c>
      <c r="E33" s="808"/>
      <c r="F33" s="809"/>
      <c r="G33" s="878"/>
      <c r="H33" s="878"/>
      <c r="I33" s="824" t="s">
        <v>936</v>
      </c>
      <c r="J33" s="824"/>
      <c r="K33" s="825"/>
      <c r="L33" s="853">
        <v>9.5</v>
      </c>
      <c r="M33" s="854"/>
      <c r="N33" s="855">
        <v>0</v>
      </c>
      <c r="O33" s="856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>
      <c r="A34" s="484"/>
      <c r="B34" s="485"/>
      <c r="C34" s="485"/>
      <c r="D34" s="993" t="s">
        <v>425</v>
      </c>
      <c r="E34" s="994"/>
      <c r="F34" s="995"/>
      <c r="G34" s="879"/>
      <c r="H34" s="876"/>
      <c r="I34" s="824" t="s">
        <v>828</v>
      </c>
      <c r="J34" s="824"/>
      <c r="K34" s="825"/>
      <c r="L34" s="853">
        <v>9.85</v>
      </c>
      <c r="M34" s="854"/>
      <c r="N34" s="855">
        <v>0</v>
      </c>
      <c r="O34" s="856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>
      <c r="A35" s="484"/>
      <c r="B35" s="485"/>
      <c r="C35" s="485"/>
      <c r="D35" s="807" t="s">
        <v>839</v>
      </c>
      <c r="E35" s="857"/>
      <c r="F35" s="809"/>
      <c r="G35" s="858"/>
      <c r="H35" s="859"/>
      <c r="I35" s="824" t="s">
        <v>841</v>
      </c>
      <c r="J35" s="824"/>
      <c r="K35" s="825"/>
      <c r="L35" s="853">
        <v>8.75</v>
      </c>
      <c r="M35" s="854"/>
      <c r="N35" s="855">
        <v>0</v>
      </c>
      <c r="O35" s="856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>
      <c r="A36" s="484"/>
      <c r="B36" s="485"/>
      <c r="C36" s="485"/>
      <c r="D36" s="993" t="s">
        <v>830</v>
      </c>
      <c r="E36" s="1039"/>
      <c r="F36" s="1039"/>
      <c r="G36" s="852"/>
      <c r="H36" s="852"/>
      <c r="I36" s="824" t="s">
        <v>831</v>
      </c>
      <c r="J36" s="824"/>
      <c r="K36" s="825"/>
      <c r="L36" s="853">
        <v>6.5</v>
      </c>
      <c r="M36" s="854"/>
      <c r="N36" s="855">
        <v>0</v>
      </c>
      <c r="O36" s="856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11"/>
      <c r="U37" s="1011"/>
      <c r="V37" s="1011"/>
      <c r="W37" s="1011"/>
      <c r="X37" s="1011"/>
      <c r="Y37" s="1011"/>
      <c r="Z37" s="1011"/>
      <c r="AA37" s="1011"/>
      <c r="AB37" s="254"/>
    </row>
    <row r="38" spans="1:34" s="188" customFormat="1" ht="27" customHeight="1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>
      <c r="A39" s="466"/>
      <c r="B39" s="402"/>
      <c r="C39" s="402"/>
      <c r="D39" s="1018" t="s">
        <v>293</v>
      </c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  <c r="X39" s="1018"/>
      <c r="Y39" s="1018"/>
      <c r="Z39" s="1018"/>
      <c r="AA39" s="1018"/>
      <c r="AB39" s="402"/>
    </row>
    <row r="40" spans="1:34" ht="27" customHeight="1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>
      <c r="A46" s="464"/>
      <c r="B46" s="254"/>
      <c r="C46" s="254"/>
      <c r="D46" s="819" t="s">
        <v>172</v>
      </c>
      <c r="E46" s="820"/>
      <c r="F46" s="820"/>
      <c r="G46" s="821"/>
      <c r="H46" s="293"/>
      <c r="I46" s="819" t="s">
        <v>173</v>
      </c>
      <c r="J46" s="820"/>
      <c r="K46" s="820"/>
      <c r="L46" s="821"/>
      <c r="M46" s="293"/>
      <c r="N46" s="819" t="s">
        <v>174</v>
      </c>
      <c r="O46" s="820"/>
      <c r="P46" s="820"/>
      <c r="Q46" s="821"/>
      <c r="R46" s="293"/>
      <c r="S46" s="819" t="s">
        <v>175</v>
      </c>
      <c r="T46" s="820"/>
      <c r="U46" s="820"/>
      <c r="V46" s="821"/>
      <c r="W46" s="293"/>
      <c r="X46" s="819" t="s">
        <v>176</v>
      </c>
      <c r="Y46" s="820"/>
      <c r="Z46" s="820"/>
      <c r="AA46" s="821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>
      <c r="A47" s="467"/>
      <c r="B47" s="262"/>
      <c r="C47" s="262"/>
      <c r="D47" s="782" t="s">
        <v>292</v>
      </c>
      <c r="E47" s="783"/>
      <c r="F47" s="783"/>
      <c r="G47" s="789"/>
      <c r="H47" s="308"/>
      <c r="I47" s="782" t="s">
        <v>164</v>
      </c>
      <c r="J47" s="783"/>
      <c r="K47" s="783"/>
      <c r="L47" s="789"/>
      <c r="M47" s="308"/>
      <c r="N47" s="782" t="s">
        <v>170</v>
      </c>
      <c r="O47" s="783"/>
      <c r="P47" s="783"/>
      <c r="Q47" s="789"/>
      <c r="R47" s="308"/>
      <c r="S47" s="782" t="s">
        <v>169</v>
      </c>
      <c r="T47" s="783"/>
      <c r="U47" s="783"/>
      <c r="V47" s="789"/>
      <c r="W47" s="308"/>
      <c r="X47" s="782" t="s">
        <v>17</v>
      </c>
      <c r="Y47" s="783"/>
      <c r="Z47" s="783"/>
      <c r="AA47" s="789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>
      <c r="A48" s="464"/>
      <c r="B48" s="254"/>
      <c r="C48" s="254"/>
      <c r="D48" s="805">
        <v>18.5</v>
      </c>
      <c r="E48" s="806"/>
      <c r="F48" s="1009">
        <v>8</v>
      </c>
      <c r="G48" s="1010"/>
      <c r="H48" s="293"/>
      <c r="I48" s="805">
        <v>1.4</v>
      </c>
      <c r="J48" s="806"/>
      <c r="K48" s="841">
        <v>24</v>
      </c>
      <c r="L48" s="842"/>
      <c r="M48" s="293"/>
      <c r="N48" s="805">
        <v>1.7</v>
      </c>
      <c r="O48" s="806"/>
      <c r="P48" s="841">
        <v>0</v>
      </c>
      <c r="Q48" s="842"/>
      <c r="R48" s="293"/>
      <c r="S48" s="1019">
        <v>1.7</v>
      </c>
      <c r="T48" s="1020"/>
      <c r="U48" s="1009">
        <v>24</v>
      </c>
      <c r="V48" s="1010"/>
      <c r="W48" s="293"/>
      <c r="X48" s="1019">
        <v>1.9</v>
      </c>
      <c r="Y48" s="1020"/>
      <c r="Z48" s="1009">
        <v>0</v>
      </c>
      <c r="AA48" s="1010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>
      <c r="A50" s="464"/>
      <c r="B50" s="254"/>
      <c r="C50" s="254"/>
      <c r="D50" s="1120"/>
      <c r="E50" s="1120"/>
      <c r="F50" s="1120"/>
      <c r="G50" s="1120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>
      <c r="A51" s="464"/>
      <c r="B51" s="254"/>
      <c r="C51" s="254"/>
      <c r="D51" s="360"/>
      <c r="E51" s="361"/>
      <c r="F51" s="361"/>
      <c r="G51" s="362"/>
      <c r="H51" s="293"/>
      <c r="I51" s="1013"/>
      <c r="J51" s="1014"/>
      <c r="K51" s="1014"/>
      <c r="L51" s="1015"/>
      <c r="M51" s="293"/>
      <c r="N51" s="1013"/>
      <c r="O51" s="1014"/>
      <c r="P51" s="1014"/>
      <c r="Q51" s="1015"/>
      <c r="R51" s="293"/>
      <c r="S51" s="1022"/>
      <c r="T51" s="1023"/>
      <c r="U51" s="1023"/>
      <c r="V51" s="1024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>
      <c r="A52" s="464"/>
      <c r="B52" s="254"/>
      <c r="C52" s="254"/>
      <c r="D52" s="363"/>
      <c r="E52" s="364"/>
      <c r="F52" s="364"/>
      <c r="G52" s="365"/>
      <c r="H52" s="293"/>
      <c r="I52" s="940"/>
      <c r="J52" s="941"/>
      <c r="K52" s="941"/>
      <c r="L52" s="942"/>
      <c r="M52" s="293"/>
      <c r="N52" s="940"/>
      <c r="O52" s="941"/>
      <c r="P52" s="941"/>
      <c r="Q52" s="942"/>
      <c r="R52" s="293"/>
      <c r="S52" s="1025"/>
      <c r="T52" s="1026"/>
      <c r="U52" s="1026"/>
      <c r="V52" s="1027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>
      <c r="A53" s="464"/>
      <c r="B53" s="254"/>
      <c r="C53" s="254"/>
      <c r="D53" s="363"/>
      <c r="E53" s="364"/>
      <c r="F53" s="364"/>
      <c r="G53" s="365"/>
      <c r="H53" s="293"/>
      <c r="I53" s="940"/>
      <c r="J53" s="941"/>
      <c r="K53" s="941"/>
      <c r="L53" s="942"/>
      <c r="M53" s="293"/>
      <c r="N53" s="940"/>
      <c r="O53" s="941"/>
      <c r="P53" s="941"/>
      <c r="Q53" s="942"/>
      <c r="R53" s="293"/>
      <c r="S53" s="1025"/>
      <c r="T53" s="1026"/>
      <c r="U53" s="1026"/>
      <c r="V53" s="1027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>
      <c r="A54" s="464"/>
      <c r="B54" s="254"/>
      <c r="C54" s="254"/>
      <c r="D54" s="363"/>
      <c r="E54" s="364"/>
      <c r="F54" s="364"/>
      <c r="G54" s="365"/>
      <c r="H54" s="293"/>
      <c r="I54" s="940"/>
      <c r="J54" s="941"/>
      <c r="K54" s="941"/>
      <c r="L54" s="942"/>
      <c r="M54" s="293"/>
      <c r="N54" s="940"/>
      <c r="O54" s="941"/>
      <c r="P54" s="941"/>
      <c r="Q54" s="942"/>
      <c r="R54" s="293"/>
      <c r="S54" s="1025"/>
      <c r="T54" s="1026"/>
      <c r="U54" s="1026"/>
      <c r="V54" s="1027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>
      <c r="A55" s="464"/>
      <c r="B55" s="254"/>
      <c r="C55" s="254"/>
      <c r="D55" s="373"/>
      <c r="E55" s="374"/>
      <c r="F55" s="374"/>
      <c r="G55" s="375"/>
      <c r="H55" s="293"/>
      <c r="I55" s="943"/>
      <c r="J55" s="944"/>
      <c r="K55" s="944"/>
      <c r="L55" s="945"/>
      <c r="M55" s="293"/>
      <c r="N55" s="943"/>
      <c r="O55" s="944"/>
      <c r="P55" s="944"/>
      <c r="Q55" s="945"/>
      <c r="R55" s="293"/>
      <c r="S55" s="1028"/>
      <c r="T55" s="1029"/>
      <c r="U55" s="1029"/>
      <c r="V55" s="1030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>
      <c r="A56" s="464"/>
      <c r="B56" s="254"/>
      <c r="C56" s="254"/>
      <c r="D56" s="819" t="s">
        <v>177</v>
      </c>
      <c r="E56" s="820"/>
      <c r="F56" s="820"/>
      <c r="G56" s="821"/>
      <c r="H56" s="293"/>
      <c r="I56" s="819" t="s">
        <v>436</v>
      </c>
      <c r="J56" s="820"/>
      <c r="K56" s="820"/>
      <c r="L56" s="821"/>
      <c r="M56" s="293"/>
      <c r="N56" s="819" t="s">
        <v>178</v>
      </c>
      <c r="O56" s="820"/>
      <c r="P56" s="820"/>
      <c r="Q56" s="821"/>
      <c r="R56" s="293"/>
      <c r="S56" s="819" t="s">
        <v>437</v>
      </c>
      <c r="T56" s="820"/>
      <c r="U56" s="820"/>
      <c r="V56" s="821"/>
      <c r="W56" s="293"/>
      <c r="X56" s="819" t="s">
        <v>179</v>
      </c>
      <c r="Y56" s="820"/>
      <c r="Z56" s="820"/>
      <c r="AA56" s="821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>
      <c r="A57" s="467"/>
      <c r="B57" s="262"/>
      <c r="C57" s="262"/>
      <c r="D57" s="782" t="s">
        <v>281</v>
      </c>
      <c r="E57" s="783"/>
      <c r="F57" s="783"/>
      <c r="G57" s="789"/>
      <c r="H57" s="308"/>
      <c r="I57" s="1036" t="s">
        <v>592</v>
      </c>
      <c r="J57" s="1037"/>
      <c r="K57" s="1037"/>
      <c r="L57" s="1038"/>
      <c r="M57" s="308"/>
      <c r="N57" s="1036" t="s">
        <v>593</v>
      </c>
      <c r="O57" s="1037"/>
      <c r="P57" s="1037"/>
      <c r="Q57" s="1038"/>
      <c r="R57" s="308"/>
      <c r="S57" s="1036" t="s">
        <v>575</v>
      </c>
      <c r="T57" s="1037"/>
      <c r="U57" s="1037"/>
      <c r="V57" s="1038"/>
      <c r="W57" s="308"/>
      <c r="X57" s="782" t="s">
        <v>576</v>
      </c>
      <c r="Y57" s="783"/>
      <c r="Z57" s="783"/>
      <c r="AA57" s="789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>
      <c r="A58" s="464"/>
      <c r="B58" s="254"/>
      <c r="C58" s="254"/>
      <c r="D58" s="850">
        <v>2.75</v>
      </c>
      <c r="E58" s="851"/>
      <c r="F58" s="841">
        <v>0</v>
      </c>
      <c r="G58" s="842"/>
      <c r="H58" s="293"/>
      <c r="I58" s="805">
        <v>2.25</v>
      </c>
      <c r="J58" s="806"/>
      <c r="K58" s="841">
        <v>0</v>
      </c>
      <c r="L58" s="842"/>
      <c r="M58" s="293"/>
      <c r="N58" s="805">
        <v>1.5</v>
      </c>
      <c r="O58" s="806"/>
      <c r="P58" s="841">
        <v>0</v>
      </c>
      <c r="Q58" s="842"/>
      <c r="R58" s="293"/>
      <c r="S58" s="805">
        <v>18</v>
      </c>
      <c r="T58" s="806"/>
      <c r="U58" s="841">
        <v>0</v>
      </c>
      <c r="V58" s="842"/>
      <c r="W58" s="293"/>
      <c r="X58" s="805">
        <v>18</v>
      </c>
      <c r="Y58" s="806"/>
      <c r="Z58" s="841">
        <v>0</v>
      </c>
      <c r="AA58" s="842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>
      <c r="A66" s="484"/>
      <c r="B66" s="485"/>
      <c r="C66" s="485"/>
      <c r="D66" s="819" t="s">
        <v>842</v>
      </c>
      <c r="E66" s="820"/>
      <c r="F66" s="820"/>
      <c r="G66" s="821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>
      <c r="A67" s="484"/>
      <c r="B67" s="485"/>
      <c r="C67" s="485"/>
      <c r="D67" s="782" t="s">
        <v>843</v>
      </c>
      <c r="E67" s="783"/>
      <c r="F67" s="783"/>
      <c r="G67" s="789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>
      <c r="A68" s="484"/>
      <c r="B68" s="485"/>
      <c r="C68" s="485"/>
      <c r="D68" s="850">
        <v>18</v>
      </c>
      <c r="E68" s="851"/>
      <c r="F68" s="841">
        <v>0</v>
      </c>
      <c r="G68" s="842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>
      <c r="A71" s="468"/>
      <c r="B71" s="402"/>
      <c r="C71" s="276"/>
      <c r="D71" s="1018" t="s">
        <v>555</v>
      </c>
      <c r="E71" s="1018"/>
      <c r="F71" s="1018"/>
      <c r="G71" s="1018"/>
      <c r="H71" s="1018"/>
      <c r="I71" s="1018"/>
      <c r="J71" s="1018"/>
      <c r="K71" s="1018"/>
      <c r="L71" s="1018"/>
      <c r="M71" s="1018"/>
      <c r="N71" s="1018"/>
      <c r="O71" s="1018"/>
      <c r="P71" s="1018"/>
      <c r="Q71" s="1018"/>
      <c r="R71" s="1018"/>
      <c r="S71" s="1018"/>
      <c r="T71" s="1018"/>
      <c r="U71" s="1018"/>
      <c r="V71" s="1018"/>
      <c r="W71" s="1018"/>
      <c r="X71" s="1018"/>
      <c r="Y71" s="1018"/>
      <c r="Z71" s="1018"/>
      <c r="AA71" s="1018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>
      <c r="A73" s="464"/>
      <c r="B73" s="254"/>
      <c r="C73" s="254"/>
      <c r="D73" s="802"/>
      <c r="E73" s="803"/>
      <c r="F73" s="803"/>
      <c r="G73" s="804"/>
      <c r="H73" s="293"/>
      <c r="I73" s="802"/>
      <c r="J73" s="803"/>
      <c r="K73" s="803"/>
      <c r="L73" s="804"/>
      <c r="M73" s="293"/>
      <c r="N73" s="802"/>
      <c r="O73" s="803"/>
      <c r="P73" s="803"/>
      <c r="Q73" s="804"/>
      <c r="R73" s="293"/>
      <c r="S73" s="802"/>
      <c r="T73" s="803"/>
      <c r="U73" s="803"/>
      <c r="V73" s="804"/>
      <c r="W73" s="293"/>
      <c r="X73" s="802"/>
      <c r="Y73" s="803"/>
      <c r="Z73" s="803"/>
      <c r="AA73" s="804"/>
      <c r="AB73" s="254"/>
    </row>
    <row r="74" spans="1:34" ht="12" customHeight="1">
      <c r="A74" s="464"/>
      <c r="B74" s="254"/>
      <c r="C74" s="254"/>
      <c r="D74" s="796"/>
      <c r="E74" s="797"/>
      <c r="F74" s="797"/>
      <c r="G74" s="798"/>
      <c r="H74" s="293"/>
      <c r="I74" s="796"/>
      <c r="J74" s="797"/>
      <c r="K74" s="797"/>
      <c r="L74" s="798"/>
      <c r="M74" s="293"/>
      <c r="N74" s="796"/>
      <c r="O74" s="797"/>
      <c r="P74" s="797"/>
      <c r="Q74" s="798"/>
      <c r="R74" s="293"/>
      <c r="S74" s="796"/>
      <c r="T74" s="797"/>
      <c r="U74" s="797"/>
      <c r="V74" s="798"/>
      <c r="W74" s="293"/>
      <c r="X74" s="796"/>
      <c r="Y74" s="797"/>
      <c r="Z74" s="797"/>
      <c r="AA74" s="798"/>
      <c r="AB74" s="254"/>
    </row>
    <row r="75" spans="1:34" ht="13.5" customHeight="1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>
      <c r="A76" s="464"/>
      <c r="B76" s="254"/>
      <c r="C76" s="254"/>
      <c r="D76" s="796"/>
      <c r="E76" s="797"/>
      <c r="F76" s="797"/>
      <c r="G76" s="798"/>
      <c r="H76" s="293"/>
      <c r="I76" s="796"/>
      <c r="J76" s="797"/>
      <c r="K76" s="797"/>
      <c r="L76" s="798"/>
      <c r="M76" s="293"/>
      <c r="N76" s="796"/>
      <c r="O76" s="797"/>
      <c r="P76" s="797"/>
      <c r="Q76" s="798"/>
      <c r="R76" s="293"/>
      <c r="S76" s="796"/>
      <c r="T76" s="797"/>
      <c r="U76" s="797"/>
      <c r="V76" s="798"/>
      <c r="W76" s="293"/>
      <c r="X76" s="796"/>
      <c r="Y76" s="797"/>
      <c r="Z76" s="797"/>
      <c r="AA76" s="798"/>
      <c r="AB76" s="254"/>
    </row>
    <row r="77" spans="1:34" ht="13.5" customHeight="1">
      <c r="A77" s="464"/>
      <c r="B77" s="254"/>
      <c r="C77" s="254"/>
      <c r="D77" s="796"/>
      <c r="E77" s="797"/>
      <c r="F77" s="797"/>
      <c r="G77" s="798"/>
      <c r="H77" s="293"/>
      <c r="I77" s="796"/>
      <c r="J77" s="797"/>
      <c r="K77" s="797"/>
      <c r="L77" s="798"/>
      <c r="M77" s="293"/>
      <c r="N77" s="796"/>
      <c r="O77" s="797"/>
      <c r="P77" s="797"/>
      <c r="Q77" s="798"/>
      <c r="R77" s="293"/>
      <c r="S77" s="796"/>
      <c r="T77" s="797"/>
      <c r="U77" s="797"/>
      <c r="V77" s="798"/>
      <c r="W77" s="293"/>
      <c r="X77" s="796"/>
      <c r="Y77" s="797"/>
      <c r="Z77" s="797"/>
      <c r="AA77" s="798"/>
      <c r="AB77" s="254"/>
    </row>
    <row r="78" spans="1:34" ht="13.5" customHeight="1">
      <c r="A78" s="464"/>
      <c r="B78" s="254"/>
      <c r="C78" s="254"/>
      <c r="D78" s="1031"/>
      <c r="E78" s="1032"/>
      <c r="F78" s="1032"/>
      <c r="G78" s="1033"/>
      <c r="H78" s="293"/>
      <c r="I78" s="1031"/>
      <c r="J78" s="1032"/>
      <c r="K78" s="1032"/>
      <c r="L78" s="1033"/>
      <c r="M78" s="293"/>
      <c r="N78" s="1031"/>
      <c r="O78" s="1032"/>
      <c r="P78" s="1032"/>
      <c r="Q78" s="1033"/>
      <c r="R78" s="293"/>
      <c r="S78" s="796"/>
      <c r="T78" s="797"/>
      <c r="U78" s="797"/>
      <c r="V78" s="798"/>
      <c r="W78" s="293"/>
      <c r="X78" s="796"/>
      <c r="Y78" s="797"/>
      <c r="Z78" s="797"/>
      <c r="AA78" s="798"/>
      <c r="AB78" s="254"/>
    </row>
    <row r="79" spans="1:34" ht="13.5" customHeight="1">
      <c r="A79" s="464"/>
      <c r="B79" s="254"/>
      <c r="C79" s="254"/>
      <c r="D79" s="970" t="s">
        <v>258</v>
      </c>
      <c r="E79" s="971"/>
      <c r="F79" s="972"/>
      <c r="G79" s="973"/>
      <c r="H79" s="293"/>
      <c r="I79" s="970" t="s">
        <v>259</v>
      </c>
      <c r="J79" s="971"/>
      <c r="K79" s="972"/>
      <c r="L79" s="973"/>
      <c r="M79" s="293"/>
      <c r="N79" s="970" t="s">
        <v>260</v>
      </c>
      <c r="O79" s="971"/>
      <c r="P79" s="972"/>
      <c r="Q79" s="973"/>
      <c r="R79" s="293"/>
      <c r="S79" s="970" t="s">
        <v>261</v>
      </c>
      <c r="T79" s="971"/>
      <c r="U79" s="972"/>
      <c r="V79" s="973"/>
      <c r="W79" s="293"/>
      <c r="X79" s="970" t="s">
        <v>262</v>
      </c>
      <c r="Y79" s="971"/>
      <c r="Z79" s="972"/>
      <c r="AA79" s="973"/>
      <c r="AB79" s="254"/>
    </row>
    <row r="80" spans="1:34" ht="16.149999999999999" customHeight="1" thickBot="1">
      <c r="A80" s="464"/>
      <c r="B80" s="256"/>
      <c r="C80" s="256"/>
      <c r="D80" s="1034">
        <v>0.55000000000000004</v>
      </c>
      <c r="E80" s="1035"/>
      <c r="F80" s="962">
        <f>72+82</f>
        <v>154</v>
      </c>
      <c r="G80" s="963"/>
      <c r="H80" s="293"/>
      <c r="I80" s="1034">
        <v>0.92</v>
      </c>
      <c r="J80" s="1035"/>
      <c r="K80" s="962">
        <f>20+18</f>
        <v>38</v>
      </c>
      <c r="L80" s="963"/>
      <c r="M80" s="293"/>
      <c r="N80" s="1034">
        <v>0.95</v>
      </c>
      <c r="O80" s="1035"/>
      <c r="P80" s="962">
        <v>32</v>
      </c>
      <c r="Q80" s="963"/>
      <c r="R80" s="293"/>
      <c r="S80" s="1034">
        <v>0.85</v>
      </c>
      <c r="T80" s="1035"/>
      <c r="U80" s="962">
        <v>22</v>
      </c>
      <c r="V80" s="963"/>
      <c r="W80" s="293"/>
      <c r="X80" s="1034">
        <v>0.5</v>
      </c>
      <c r="Y80" s="1035"/>
      <c r="Z80" s="962">
        <v>8</v>
      </c>
      <c r="AA80" s="963"/>
      <c r="AB80" s="256"/>
    </row>
    <row r="81" spans="1:29" s="488" customFormat="1" ht="16.149999999999999" customHeight="1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4.25">
      <c r="A83" s="469"/>
      <c r="B83" s="254"/>
      <c r="C83" s="254"/>
      <c r="D83" s="779"/>
      <c r="E83" s="780"/>
      <c r="F83" s="780"/>
      <c r="G83" s="781"/>
      <c r="H83" s="293"/>
      <c r="I83" s="802"/>
      <c r="J83" s="803"/>
      <c r="K83" s="803"/>
      <c r="L83" s="804"/>
      <c r="M83" s="293"/>
      <c r="N83" s="802"/>
      <c r="O83" s="803"/>
      <c r="P83" s="803"/>
      <c r="Q83" s="804"/>
      <c r="R83" s="293"/>
      <c r="S83" s="802"/>
      <c r="T83" s="803"/>
      <c r="U83" s="803"/>
      <c r="V83" s="804"/>
      <c r="W83" s="293"/>
      <c r="X83" s="802"/>
      <c r="Y83" s="803"/>
      <c r="Z83" s="803"/>
      <c r="AA83" s="804"/>
      <c r="AB83" s="254"/>
      <c r="AC83" s="418"/>
    </row>
    <row r="84" spans="1:29" ht="13.5" customHeight="1">
      <c r="A84" s="464"/>
      <c r="B84" s="254"/>
      <c r="C84" s="254"/>
      <c r="D84" s="776"/>
      <c r="E84" s="777"/>
      <c r="F84" s="777"/>
      <c r="G84" s="778"/>
      <c r="H84" s="293"/>
      <c r="I84" s="796"/>
      <c r="J84" s="797"/>
      <c r="K84" s="797"/>
      <c r="L84" s="798"/>
      <c r="M84" s="293"/>
      <c r="N84" s="796"/>
      <c r="O84" s="797"/>
      <c r="P84" s="797"/>
      <c r="Q84" s="798"/>
      <c r="R84" s="293"/>
      <c r="S84" s="796"/>
      <c r="T84" s="797"/>
      <c r="U84" s="797"/>
      <c r="V84" s="798"/>
      <c r="W84" s="293"/>
      <c r="X84" s="796"/>
      <c r="Y84" s="797"/>
      <c r="Z84" s="797"/>
      <c r="AA84" s="798"/>
      <c r="AB84" s="254"/>
    </row>
    <row r="85" spans="1:29" ht="14.25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>
      <c r="A86" s="464"/>
      <c r="B86" s="254"/>
      <c r="C86" s="254"/>
      <c r="D86" s="776"/>
      <c r="E86" s="777"/>
      <c r="F86" s="777"/>
      <c r="G86" s="778"/>
      <c r="H86" s="293"/>
      <c r="I86" s="796"/>
      <c r="J86" s="797"/>
      <c r="K86" s="797"/>
      <c r="L86" s="798"/>
      <c r="M86" s="293"/>
      <c r="N86" s="796"/>
      <c r="O86" s="797"/>
      <c r="P86" s="797"/>
      <c r="Q86" s="798"/>
      <c r="R86" s="293"/>
      <c r="S86" s="796"/>
      <c r="T86" s="797"/>
      <c r="U86" s="797"/>
      <c r="V86" s="798"/>
      <c r="W86" s="293"/>
      <c r="X86" s="796"/>
      <c r="Y86" s="797"/>
      <c r="Z86" s="797"/>
      <c r="AA86" s="798"/>
      <c r="AB86" s="254"/>
    </row>
    <row r="87" spans="1:29" ht="14.25">
      <c r="A87" s="464"/>
      <c r="B87" s="254"/>
      <c r="C87" s="254"/>
      <c r="D87" s="776"/>
      <c r="E87" s="777"/>
      <c r="F87" s="777"/>
      <c r="G87" s="778"/>
      <c r="H87" s="293"/>
      <c r="I87" s="796"/>
      <c r="J87" s="797"/>
      <c r="K87" s="797"/>
      <c r="L87" s="798"/>
      <c r="M87" s="293"/>
      <c r="N87" s="796"/>
      <c r="O87" s="797"/>
      <c r="P87" s="797"/>
      <c r="Q87" s="798"/>
      <c r="R87" s="293"/>
      <c r="S87" s="796"/>
      <c r="T87" s="797"/>
      <c r="U87" s="797"/>
      <c r="V87" s="798"/>
      <c r="W87" s="293"/>
      <c r="X87" s="796"/>
      <c r="Y87" s="797"/>
      <c r="Z87" s="797"/>
      <c r="AA87" s="798"/>
      <c r="AB87" s="254"/>
    </row>
    <row r="88" spans="1:29" ht="14.25">
      <c r="A88" s="464"/>
      <c r="B88" s="254"/>
      <c r="C88" s="254"/>
      <c r="D88" s="776"/>
      <c r="E88" s="777"/>
      <c r="F88" s="777"/>
      <c r="G88" s="778"/>
      <c r="H88" s="293"/>
      <c r="I88" s="796"/>
      <c r="J88" s="797"/>
      <c r="K88" s="797"/>
      <c r="L88" s="798"/>
      <c r="M88" s="293"/>
      <c r="N88" s="796"/>
      <c r="O88" s="797"/>
      <c r="P88" s="797"/>
      <c r="Q88" s="798"/>
      <c r="R88" s="293"/>
      <c r="S88" s="796"/>
      <c r="T88" s="797"/>
      <c r="U88" s="797"/>
      <c r="V88" s="798"/>
      <c r="W88" s="293"/>
      <c r="X88" s="796"/>
      <c r="Y88" s="797"/>
      <c r="Z88" s="797"/>
      <c r="AA88" s="798"/>
      <c r="AB88" s="254"/>
    </row>
    <row r="89" spans="1:29" ht="15">
      <c r="A89" s="464"/>
      <c r="B89" s="254"/>
      <c r="C89" s="254"/>
      <c r="D89" s="970" t="s">
        <v>263</v>
      </c>
      <c r="E89" s="971"/>
      <c r="F89" s="972"/>
      <c r="G89" s="973"/>
      <c r="H89" s="293"/>
      <c r="I89" s="1060" t="s">
        <v>264</v>
      </c>
      <c r="J89" s="1117"/>
      <c r="K89" s="1118"/>
      <c r="L89" s="1119"/>
      <c r="M89" s="293"/>
      <c r="N89" s="999" t="s">
        <v>265</v>
      </c>
      <c r="O89" s="1000"/>
      <c r="P89" s="1001"/>
      <c r="Q89" s="1002"/>
      <c r="R89" s="293"/>
      <c r="S89" s="999" t="s">
        <v>266</v>
      </c>
      <c r="T89" s="1000"/>
      <c r="U89" s="1001"/>
      <c r="V89" s="1002"/>
      <c r="W89" s="293"/>
      <c r="X89" s="970" t="s">
        <v>267</v>
      </c>
      <c r="Y89" s="971"/>
      <c r="Z89" s="972"/>
      <c r="AA89" s="973"/>
      <c r="AB89" s="254"/>
    </row>
    <row r="90" spans="1:29" ht="16.149999999999999" customHeight="1" thickBot="1">
      <c r="A90" s="464"/>
      <c r="B90" s="254"/>
      <c r="C90" s="254"/>
      <c r="D90" s="1034">
        <v>0.5</v>
      </c>
      <c r="E90" s="1035"/>
      <c r="F90" s="962">
        <v>8</v>
      </c>
      <c r="G90" s="963"/>
      <c r="H90" s="293"/>
      <c r="I90" s="1034">
        <v>0.95</v>
      </c>
      <c r="J90" s="1035"/>
      <c r="K90" s="962">
        <v>0</v>
      </c>
      <c r="L90" s="963"/>
      <c r="M90" s="293"/>
      <c r="N90" s="1034">
        <v>0.55000000000000004</v>
      </c>
      <c r="O90" s="1035"/>
      <c r="P90" s="962">
        <v>0</v>
      </c>
      <c r="Q90" s="963"/>
      <c r="R90" s="293"/>
      <c r="S90" s="1034">
        <v>0.7</v>
      </c>
      <c r="T90" s="1035"/>
      <c r="U90" s="962">
        <v>0</v>
      </c>
      <c r="V90" s="963"/>
      <c r="W90" s="293"/>
      <c r="X90" s="1034">
        <v>0.9</v>
      </c>
      <c r="Y90" s="1035"/>
      <c r="Z90" s="962">
        <v>0</v>
      </c>
      <c r="AA90" s="963"/>
      <c r="AB90" s="254"/>
    </row>
    <row r="91" spans="1:29" s="488" customFormat="1" ht="16.149999999999999" customHeight="1">
      <c r="A91" s="484"/>
      <c r="B91" s="577"/>
      <c r="C91" s="577"/>
      <c r="D91" s="615">
        <f>D90*G91</f>
        <v>112.5</v>
      </c>
      <c r="E91" s="1046" t="s">
        <v>291</v>
      </c>
      <c r="F91" s="1046"/>
      <c r="G91" s="567">
        <v>225</v>
      </c>
      <c r="H91" s="565"/>
      <c r="I91" s="615">
        <f>I90*L91</f>
        <v>171</v>
      </c>
      <c r="J91" s="1046" t="s">
        <v>291</v>
      </c>
      <c r="K91" s="1046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>
      <c r="A93" s="470"/>
      <c r="B93" s="254"/>
      <c r="C93" s="254"/>
      <c r="D93" s="779"/>
      <c r="E93" s="780"/>
      <c r="F93" s="780"/>
      <c r="G93" s="781"/>
      <c r="H93" s="358"/>
      <c r="I93" s="779"/>
      <c r="J93" s="780"/>
      <c r="K93" s="780"/>
      <c r="L93" s="781"/>
      <c r="M93" s="293"/>
      <c r="N93" s="779"/>
      <c r="O93" s="780"/>
      <c r="P93" s="780"/>
      <c r="Q93" s="781"/>
      <c r="R93" s="358"/>
      <c r="S93" s="779"/>
      <c r="T93" s="780"/>
      <c r="U93" s="780"/>
      <c r="V93" s="781"/>
      <c r="W93" s="293"/>
      <c r="X93" s="779"/>
      <c r="Y93" s="780"/>
      <c r="Z93" s="780"/>
      <c r="AA93" s="781"/>
      <c r="AB93" s="254"/>
      <c r="AC93" s="419"/>
    </row>
    <row r="94" spans="1:29" s="197" customFormat="1" ht="14.25">
      <c r="A94" s="469"/>
      <c r="B94" s="254"/>
      <c r="C94" s="254"/>
      <c r="D94" s="776"/>
      <c r="E94" s="777"/>
      <c r="F94" s="777"/>
      <c r="G94" s="778"/>
      <c r="H94" s="358"/>
      <c r="I94" s="776"/>
      <c r="J94" s="777"/>
      <c r="K94" s="777"/>
      <c r="L94" s="778"/>
      <c r="M94" s="293"/>
      <c r="N94" s="776"/>
      <c r="O94" s="777"/>
      <c r="P94" s="777"/>
      <c r="Q94" s="778"/>
      <c r="R94" s="358"/>
      <c r="S94" s="776"/>
      <c r="T94" s="777"/>
      <c r="U94" s="777"/>
      <c r="V94" s="778"/>
      <c r="W94" s="293"/>
      <c r="X94" s="776"/>
      <c r="Y94" s="777"/>
      <c r="Z94" s="777"/>
      <c r="AA94" s="778"/>
      <c r="AB94" s="254"/>
      <c r="AC94" s="418"/>
    </row>
    <row r="95" spans="1:29" ht="13.5" customHeight="1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>
      <c r="A97" s="464"/>
      <c r="B97" s="254"/>
      <c r="C97" s="254"/>
      <c r="D97" s="776"/>
      <c r="E97" s="777"/>
      <c r="F97" s="777"/>
      <c r="G97" s="778"/>
      <c r="H97" s="358"/>
      <c r="I97" s="776"/>
      <c r="J97" s="777"/>
      <c r="K97" s="777"/>
      <c r="L97" s="778"/>
      <c r="M97" s="293"/>
      <c r="N97" s="776"/>
      <c r="O97" s="777"/>
      <c r="P97" s="777"/>
      <c r="Q97" s="778"/>
      <c r="R97" s="358"/>
      <c r="S97" s="776"/>
      <c r="T97" s="777"/>
      <c r="U97" s="777"/>
      <c r="V97" s="778"/>
      <c r="W97" s="293"/>
      <c r="X97" s="776"/>
      <c r="Y97" s="777"/>
      <c r="Z97" s="777"/>
      <c r="AA97" s="778"/>
      <c r="AB97" s="254"/>
    </row>
    <row r="98" spans="1:29" ht="14.25">
      <c r="A98" s="464"/>
      <c r="B98" s="254"/>
      <c r="C98" s="254"/>
      <c r="D98" s="1054"/>
      <c r="E98" s="1055"/>
      <c r="F98" s="1055"/>
      <c r="G98" s="1056"/>
      <c r="H98" s="358"/>
      <c r="I98" s="776"/>
      <c r="J98" s="777"/>
      <c r="K98" s="777"/>
      <c r="L98" s="778"/>
      <c r="M98" s="293"/>
      <c r="N98" s="1054"/>
      <c r="O98" s="1055"/>
      <c r="P98" s="1055"/>
      <c r="Q98" s="1056"/>
      <c r="R98" s="358"/>
      <c r="S98" s="776"/>
      <c r="T98" s="777"/>
      <c r="U98" s="777"/>
      <c r="V98" s="778"/>
      <c r="W98" s="293"/>
      <c r="X98" s="776"/>
      <c r="Y98" s="777"/>
      <c r="Z98" s="777"/>
      <c r="AA98" s="778"/>
      <c r="AB98" s="254"/>
    </row>
    <row r="99" spans="1:29" ht="15">
      <c r="A99" s="464"/>
      <c r="B99" s="263"/>
      <c r="C99" s="263"/>
      <c r="D99" s="1003" t="s">
        <v>268</v>
      </c>
      <c r="E99" s="1004"/>
      <c r="F99" s="1005"/>
      <c r="G99" s="1006"/>
      <c r="H99" s="293"/>
      <c r="I99" s="1060" t="s">
        <v>269</v>
      </c>
      <c r="J99" s="1061"/>
      <c r="K99" s="1062"/>
      <c r="L99" s="1063"/>
      <c r="M99" s="293"/>
      <c r="N99" s="970" t="s">
        <v>270</v>
      </c>
      <c r="O99" s="971"/>
      <c r="P99" s="972"/>
      <c r="Q99" s="973"/>
      <c r="R99" s="293"/>
      <c r="S99" s="970" t="s">
        <v>271</v>
      </c>
      <c r="T99" s="971"/>
      <c r="U99" s="972"/>
      <c r="V99" s="973"/>
      <c r="W99" s="293"/>
      <c r="X99" s="970" t="s">
        <v>272</v>
      </c>
      <c r="Y99" s="971"/>
      <c r="Z99" s="972"/>
      <c r="AA99" s="973"/>
      <c r="AB99" s="254"/>
    </row>
    <row r="100" spans="1:29" ht="16.149999999999999" customHeight="1" thickBot="1">
      <c r="A100" s="464"/>
      <c r="B100" s="254"/>
      <c r="C100" s="254"/>
      <c r="D100" s="988">
        <v>0.9</v>
      </c>
      <c r="E100" s="989"/>
      <c r="F100" s="962">
        <v>18</v>
      </c>
      <c r="G100" s="963"/>
      <c r="H100" s="293"/>
      <c r="I100" s="988">
        <v>0.75</v>
      </c>
      <c r="J100" s="989"/>
      <c r="K100" s="962">
        <v>10</v>
      </c>
      <c r="L100" s="963"/>
      <c r="M100" s="293"/>
      <c r="N100" s="988">
        <v>0.69</v>
      </c>
      <c r="O100" s="989"/>
      <c r="P100" s="962">
        <v>22</v>
      </c>
      <c r="Q100" s="963"/>
      <c r="R100" s="293"/>
      <c r="S100" s="988">
        <v>0.8</v>
      </c>
      <c r="T100" s="989"/>
      <c r="U100" s="962">
        <v>0</v>
      </c>
      <c r="V100" s="963"/>
      <c r="W100" s="293"/>
      <c r="X100" s="988">
        <v>0.75</v>
      </c>
      <c r="Y100" s="989"/>
      <c r="Z100" s="962">
        <v>2</v>
      </c>
      <c r="AA100" s="963"/>
      <c r="AB100" s="254"/>
    </row>
    <row r="101" spans="1:29" s="488" customFormat="1" ht="16.149999999999999" customHeight="1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>
      <c r="A103" s="467"/>
      <c r="B103" s="254"/>
      <c r="C103" s="254"/>
      <c r="D103" s="779"/>
      <c r="E103" s="780"/>
      <c r="F103" s="780"/>
      <c r="G103" s="781"/>
      <c r="H103" s="293"/>
      <c r="I103" s="802"/>
      <c r="J103" s="803"/>
      <c r="K103" s="803"/>
      <c r="L103" s="804"/>
      <c r="M103" s="293"/>
      <c r="N103" s="802"/>
      <c r="O103" s="803"/>
      <c r="P103" s="803"/>
      <c r="Q103" s="804"/>
      <c r="R103" s="293"/>
      <c r="S103" s="802"/>
      <c r="T103" s="803"/>
      <c r="U103" s="803"/>
      <c r="V103" s="804"/>
      <c r="W103" s="293"/>
      <c r="X103" s="802"/>
      <c r="Y103" s="803"/>
      <c r="Z103" s="803"/>
      <c r="AA103" s="804"/>
      <c r="AB103" s="254"/>
      <c r="AC103" s="397"/>
    </row>
    <row r="104" spans="1:29" s="197" customFormat="1" ht="14.25">
      <c r="A104" s="469"/>
      <c r="B104" s="254"/>
      <c r="C104" s="254"/>
      <c r="D104" s="776"/>
      <c r="E104" s="777"/>
      <c r="F104" s="777"/>
      <c r="G104" s="778"/>
      <c r="H104" s="293"/>
      <c r="I104" s="796"/>
      <c r="J104" s="797"/>
      <c r="K104" s="797"/>
      <c r="L104" s="798"/>
      <c r="M104" s="293"/>
      <c r="N104" s="796"/>
      <c r="O104" s="797"/>
      <c r="P104" s="797"/>
      <c r="Q104" s="798"/>
      <c r="R104" s="293"/>
      <c r="S104" s="796"/>
      <c r="T104" s="797"/>
      <c r="U104" s="797"/>
      <c r="V104" s="798"/>
      <c r="W104" s="293"/>
      <c r="X104" s="796"/>
      <c r="Y104" s="797"/>
      <c r="Z104" s="797"/>
      <c r="AA104" s="798"/>
      <c r="AB104" s="254"/>
      <c r="AC104" s="418"/>
    </row>
    <row r="105" spans="1:29" ht="14.25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>
      <c r="A106" s="464"/>
      <c r="B106" s="254"/>
      <c r="C106" s="254"/>
      <c r="D106" s="776"/>
      <c r="E106" s="777"/>
      <c r="F106" s="777"/>
      <c r="G106" s="778"/>
      <c r="H106" s="293"/>
      <c r="I106" s="796"/>
      <c r="J106" s="797"/>
      <c r="K106" s="797"/>
      <c r="L106" s="798"/>
      <c r="M106" s="293"/>
      <c r="N106" s="796"/>
      <c r="O106" s="797"/>
      <c r="P106" s="797"/>
      <c r="Q106" s="798"/>
      <c r="R106" s="293"/>
      <c r="S106" s="796"/>
      <c r="T106" s="797"/>
      <c r="U106" s="797"/>
      <c r="V106" s="798"/>
      <c r="W106" s="293"/>
      <c r="X106" s="796"/>
      <c r="Y106" s="797"/>
      <c r="Z106" s="797"/>
      <c r="AA106" s="798"/>
      <c r="AB106" s="254"/>
    </row>
    <row r="107" spans="1:29" ht="14.25">
      <c r="A107" s="464"/>
      <c r="B107" s="254"/>
      <c r="C107" s="254"/>
      <c r="D107" s="776"/>
      <c r="E107" s="777"/>
      <c r="F107" s="777"/>
      <c r="G107" s="778"/>
      <c r="H107" s="293"/>
      <c r="I107" s="796"/>
      <c r="J107" s="797"/>
      <c r="K107" s="797"/>
      <c r="L107" s="798"/>
      <c r="M107" s="293"/>
      <c r="N107" s="796"/>
      <c r="O107" s="797"/>
      <c r="P107" s="797"/>
      <c r="Q107" s="798"/>
      <c r="R107" s="293"/>
      <c r="S107" s="796"/>
      <c r="T107" s="797"/>
      <c r="U107" s="797"/>
      <c r="V107" s="798"/>
      <c r="W107" s="293"/>
      <c r="X107" s="796"/>
      <c r="Y107" s="797"/>
      <c r="Z107" s="797"/>
      <c r="AA107" s="798"/>
      <c r="AB107" s="254"/>
    </row>
    <row r="108" spans="1:29" ht="14.25">
      <c r="A108" s="464"/>
      <c r="B108" s="254"/>
      <c r="C108" s="254"/>
      <c r="D108" s="1054"/>
      <c r="E108" s="1055"/>
      <c r="F108" s="1055"/>
      <c r="G108" s="1056"/>
      <c r="H108" s="293"/>
      <c r="I108" s="1031"/>
      <c r="J108" s="1032"/>
      <c r="K108" s="1032"/>
      <c r="L108" s="1033"/>
      <c r="M108" s="293"/>
      <c r="N108" s="1031"/>
      <c r="O108" s="1032"/>
      <c r="P108" s="1032"/>
      <c r="Q108" s="1033"/>
      <c r="R108" s="293"/>
      <c r="S108" s="1031"/>
      <c r="T108" s="1032"/>
      <c r="U108" s="1032"/>
      <c r="V108" s="1033"/>
      <c r="W108" s="293"/>
      <c r="X108" s="1031"/>
      <c r="Y108" s="1032"/>
      <c r="Z108" s="1032"/>
      <c r="AA108" s="1033"/>
      <c r="AB108" s="254"/>
    </row>
    <row r="109" spans="1:29" ht="15">
      <c r="A109" s="464"/>
      <c r="B109" s="254"/>
      <c r="C109" s="254"/>
      <c r="D109" s="1003" t="s">
        <v>273</v>
      </c>
      <c r="E109" s="1004"/>
      <c r="F109" s="1005"/>
      <c r="G109" s="1006"/>
      <c r="H109" s="293"/>
      <c r="I109" s="1003" t="s">
        <v>274</v>
      </c>
      <c r="J109" s="1004"/>
      <c r="K109" s="1005"/>
      <c r="L109" s="1006"/>
      <c r="M109" s="293"/>
      <c r="N109" s="970" t="s">
        <v>275</v>
      </c>
      <c r="O109" s="971"/>
      <c r="P109" s="972"/>
      <c r="Q109" s="973"/>
      <c r="R109" s="293"/>
      <c r="S109" s="1060" t="s">
        <v>849</v>
      </c>
      <c r="T109" s="1061"/>
      <c r="U109" s="1062"/>
      <c r="V109" s="1063"/>
      <c r="W109" s="293"/>
      <c r="X109" s="970" t="s">
        <v>848</v>
      </c>
      <c r="Y109" s="971"/>
      <c r="Z109" s="972"/>
      <c r="AA109" s="973"/>
      <c r="AB109" s="254"/>
    </row>
    <row r="110" spans="1:29" ht="16.149999999999999" customHeight="1" thickBot="1">
      <c r="A110" s="464"/>
      <c r="B110" s="254"/>
      <c r="C110" s="254"/>
      <c r="D110" s="1049">
        <v>0.75</v>
      </c>
      <c r="E110" s="1050"/>
      <c r="F110" s="964">
        <v>2</v>
      </c>
      <c r="G110" s="965"/>
      <c r="H110" s="293"/>
      <c r="I110" s="1047">
        <v>0.7</v>
      </c>
      <c r="J110" s="1048"/>
      <c r="K110" s="964">
        <v>0</v>
      </c>
      <c r="L110" s="965"/>
      <c r="M110" s="293"/>
      <c r="N110" s="1034">
        <v>0.7</v>
      </c>
      <c r="O110" s="1035"/>
      <c r="P110" s="962">
        <v>0</v>
      </c>
      <c r="Q110" s="963"/>
      <c r="R110" s="293"/>
      <c r="S110" s="1034">
        <v>0.8</v>
      </c>
      <c r="T110" s="1035"/>
      <c r="U110" s="962">
        <v>4</v>
      </c>
      <c r="V110" s="963"/>
      <c r="W110" s="293"/>
      <c r="X110" s="1034">
        <v>0.95</v>
      </c>
      <c r="Y110" s="1035"/>
      <c r="Z110" s="962">
        <v>0</v>
      </c>
      <c r="AA110" s="963"/>
      <c r="AB110" s="254"/>
    </row>
    <row r="111" spans="1:29" s="488" customFormat="1" ht="16.149999999999999" customHeight="1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>
      <c r="A113" s="464"/>
      <c r="B113" s="254"/>
      <c r="C113" s="254"/>
      <c r="D113" s="1064"/>
      <c r="E113" s="1065"/>
      <c r="F113" s="1065"/>
      <c r="G113" s="1066"/>
      <c r="H113" s="293"/>
      <c r="I113" s="1064"/>
      <c r="J113" s="1065"/>
      <c r="K113" s="1065"/>
      <c r="L113" s="1066"/>
      <c r="M113" s="293"/>
      <c r="N113" s="688"/>
      <c r="O113" s="689"/>
      <c r="P113" s="689"/>
      <c r="Q113" s="690"/>
      <c r="R113" s="293"/>
      <c r="S113" s="846"/>
      <c r="T113" s="846"/>
      <c r="U113" s="846"/>
      <c r="V113" s="846"/>
      <c r="W113" s="293"/>
      <c r="X113" s="846"/>
      <c r="Y113" s="846"/>
      <c r="Z113" s="846"/>
      <c r="AA113" s="846"/>
      <c r="AB113" s="254"/>
    </row>
    <row r="114" spans="1:29" ht="14.25">
      <c r="A114" s="464"/>
      <c r="B114" s="254"/>
      <c r="C114" s="254"/>
      <c r="D114" s="1067"/>
      <c r="E114" s="1068"/>
      <c r="F114" s="1068"/>
      <c r="G114" s="1069"/>
      <c r="H114" s="293"/>
      <c r="I114" s="1067"/>
      <c r="J114" s="1068"/>
      <c r="K114" s="1068"/>
      <c r="L114" s="1069"/>
      <c r="M114" s="293"/>
      <c r="N114" s="691"/>
      <c r="O114" s="686"/>
      <c r="P114" s="686"/>
      <c r="Q114" s="692"/>
      <c r="R114" s="293"/>
      <c r="S114" s="846"/>
      <c r="T114" s="846"/>
      <c r="U114" s="846"/>
      <c r="V114" s="846"/>
      <c r="W114" s="293"/>
      <c r="X114" s="846"/>
      <c r="Y114" s="846"/>
      <c r="Z114" s="846"/>
      <c r="AA114" s="846"/>
      <c r="AB114" s="254"/>
    </row>
    <row r="115" spans="1:29" ht="14.25">
      <c r="A115" s="464"/>
      <c r="B115" s="254"/>
      <c r="C115" s="254"/>
      <c r="D115" s="1067"/>
      <c r="E115" s="1068"/>
      <c r="F115" s="1068"/>
      <c r="G115" s="1069"/>
      <c r="H115" s="293"/>
      <c r="I115" s="1067"/>
      <c r="J115" s="1068"/>
      <c r="K115" s="1068"/>
      <c r="L115" s="1069"/>
      <c r="M115" s="293"/>
      <c r="N115" s="693"/>
      <c r="O115" s="687"/>
      <c r="P115" s="687"/>
      <c r="Q115" s="694"/>
      <c r="R115" s="293"/>
      <c r="S115" s="846"/>
      <c r="T115" s="846"/>
      <c r="U115" s="846"/>
      <c r="V115" s="846"/>
      <c r="W115" s="293"/>
      <c r="X115" s="846"/>
      <c r="Y115" s="846"/>
      <c r="Z115" s="846"/>
      <c r="AA115" s="846"/>
      <c r="AB115" s="254"/>
    </row>
    <row r="116" spans="1:29" ht="12" customHeight="1">
      <c r="A116" s="464"/>
      <c r="B116" s="254"/>
      <c r="C116" s="254"/>
      <c r="D116" s="1067"/>
      <c r="E116" s="1068"/>
      <c r="F116" s="1068"/>
      <c r="G116" s="1069"/>
      <c r="H116" s="293"/>
      <c r="I116" s="1067"/>
      <c r="J116" s="1068"/>
      <c r="K116" s="1068"/>
      <c r="L116" s="106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>
      <c r="A117" s="464"/>
      <c r="B117" s="254"/>
      <c r="C117" s="254"/>
      <c r="D117" s="1067"/>
      <c r="E117" s="1068"/>
      <c r="F117" s="1068"/>
      <c r="G117" s="1069"/>
      <c r="H117" s="293"/>
      <c r="I117" s="1067"/>
      <c r="J117" s="1068"/>
      <c r="K117" s="1068"/>
      <c r="L117" s="1069"/>
      <c r="M117" s="293"/>
      <c r="N117" s="691"/>
      <c r="O117" s="686"/>
      <c r="P117" s="686"/>
      <c r="Q117" s="692"/>
      <c r="R117" s="293"/>
      <c r="S117" s="846"/>
      <c r="T117" s="846"/>
      <c r="U117" s="846"/>
      <c r="V117" s="846"/>
      <c r="W117" s="293"/>
      <c r="X117" s="846"/>
      <c r="Y117" s="846"/>
      <c r="Z117" s="846"/>
      <c r="AA117" s="846"/>
      <c r="AB117" s="254"/>
    </row>
    <row r="118" spans="1:29" ht="14.25">
      <c r="A118" s="464"/>
      <c r="B118" s="254"/>
      <c r="C118" s="254"/>
      <c r="D118" s="1070"/>
      <c r="E118" s="1071"/>
      <c r="F118" s="1071"/>
      <c r="G118" s="1072"/>
      <c r="H118" s="293"/>
      <c r="I118" s="1070"/>
      <c r="J118" s="1071"/>
      <c r="K118" s="1071"/>
      <c r="L118" s="1072"/>
      <c r="M118" s="293"/>
      <c r="N118" s="695"/>
      <c r="O118" s="696"/>
      <c r="P118" s="696"/>
      <c r="Q118" s="697"/>
      <c r="R118" s="293"/>
      <c r="S118" s="846"/>
      <c r="T118" s="846"/>
      <c r="U118" s="846"/>
      <c r="V118" s="846"/>
      <c r="W118" s="293"/>
      <c r="X118" s="846"/>
      <c r="Y118" s="846"/>
      <c r="Z118" s="846"/>
      <c r="AA118" s="846"/>
      <c r="AB118" s="254"/>
    </row>
    <row r="119" spans="1:29" ht="15">
      <c r="A119" s="464"/>
      <c r="B119" s="254"/>
      <c r="C119" s="254"/>
      <c r="D119" s="970" t="s">
        <v>276</v>
      </c>
      <c r="E119" s="971"/>
      <c r="F119" s="972"/>
      <c r="G119" s="973"/>
      <c r="H119" s="293"/>
      <c r="I119" s="970" t="s">
        <v>256</v>
      </c>
      <c r="J119" s="971"/>
      <c r="K119" s="972"/>
      <c r="L119" s="973"/>
      <c r="M119" s="293"/>
      <c r="N119" s="970" t="s">
        <v>257</v>
      </c>
      <c r="O119" s="971"/>
      <c r="P119" s="972"/>
      <c r="Q119" s="973"/>
      <c r="R119" s="293"/>
      <c r="S119" s="939"/>
      <c r="T119" s="939"/>
      <c r="U119" s="939"/>
      <c r="V119" s="939"/>
      <c r="W119" s="293"/>
      <c r="X119" s="939"/>
      <c r="Y119" s="939"/>
      <c r="Z119" s="939"/>
      <c r="AA119" s="939"/>
      <c r="AB119" s="254"/>
    </row>
    <row r="120" spans="1:29" s="199" customFormat="1" ht="16.149999999999999" customHeight="1" thickBot="1">
      <c r="A120" s="471"/>
      <c r="B120" s="254"/>
      <c r="C120" s="254"/>
      <c r="D120" s="1034">
        <v>0.9</v>
      </c>
      <c r="E120" s="1035"/>
      <c r="F120" s="962">
        <v>0</v>
      </c>
      <c r="G120" s="963"/>
      <c r="H120" s="293"/>
      <c r="I120" s="988">
        <v>1.65</v>
      </c>
      <c r="J120" s="989"/>
      <c r="K120" s="962">
        <v>0</v>
      </c>
      <c r="L120" s="963"/>
      <c r="M120" s="293"/>
      <c r="N120" s="1034">
        <v>1.65</v>
      </c>
      <c r="O120" s="1035"/>
      <c r="P120" s="962">
        <v>0</v>
      </c>
      <c r="Q120" s="963"/>
      <c r="R120" s="293"/>
      <c r="S120" s="915"/>
      <c r="T120" s="915"/>
      <c r="U120" s="894"/>
      <c r="V120" s="894"/>
      <c r="W120" s="293"/>
      <c r="X120" s="915"/>
      <c r="Y120" s="915"/>
      <c r="Z120" s="894"/>
      <c r="AA120" s="894"/>
      <c r="AB120" s="254"/>
      <c r="AC120" s="420"/>
    </row>
    <row r="121" spans="1:29" s="579" customFormat="1" ht="16.149999999999999" customHeight="1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>
      <c r="A123" s="467"/>
      <c r="B123" s="275"/>
      <c r="C123" s="275"/>
      <c r="D123" s="1059" t="s">
        <v>578</v>
      </c>
      <c r="E123" s="1059"/>
      <c r="F123" s="1059"/>
      <c r="G123" s="1059"/>
      <c r="H123" s="1059"/>
      <c r="I123" s="1059"/>
      <c r="J123" s="1059"/>
      <c r="K123" s="1059"/>
      <c r="L123" s="1059"/>
      <c r="M123" s="1059"/>
      <c r="N123" s="1059"/>
      <c r="O123" s="1059"/>
      <c r="P123" s="1059"/>
      <c r="Q123" s="1059"/>
      <c r="R123" s="1059"/>
      <c r="S123" s="1059"/>
      <c r="T123" s="1059"/>
      <c r="U123" s="1059"/>
      <c r="V123" s="1059"/>
      <c r="W123" s="1059"/>
      <c r="X123" s="1059"/>
      <c r="Y123" s="1059"/>
      <c r="Z123" s="1059"/>
      <c r="AA123" s="1059"/>
      <c r="AB123" s="275"/>
      <c r="AC123" s="397"/>
    </row>
    <row r="124" spans="1:29" ht="27" customHeight="1">
      <c r="A124" s="464"/>
      <c r="B124" s="254"/>
      <c r="C124" s="254"/>
      <c r="D124" s="1057" t="s">
        <v>277</v>
      </c>
      <c r="E124" s="1057"/>
      <c r="F124" s="1057"/>
      <c r="G124" s="1057"/>
      <c r="H124" s="1058"/>
      <c r="I124" s="1057"/>
      <c r="J124" s="1057"/>
      <c r="K124" s="1057"/>
      <c r="L124" s="1057"/>
      <c r="M124" s="1058"/>
      <c r="N124" s="1057"/>
      <c r="O124" s="1057"/>
      <c r="P124" s="1057"/>
      <c r="Q124" s="1057"/>
      <c r="R124" s="1058"/>
      <c r="S124" s="1057"/>
      <c r="T124" s="1057"/>
      <c r="U124" s="1057"/>
      <c r="V124" s="1057"/>
      <c r="W124" s="1058"/>
      <c r="X124" s="1057"/>
      <c r="Y124" s="1057"/>
      <c r="Z124" s="1057"/>
      <c r="AA124" s="1057"/>
      <c r="AB124" s="412"/>
    </row>
    <row r="125" spans="1:29" s="190" customFormat="1" ht="18">
      <c r="A125" s="465"/>
      <c r="B125" s="1073"/>
      <c r="C125" s="289"/>
      <c r="D125" s="777"/>
      <c r="E125" s="777"/>
      <c r="F125" s="777"/>
      <c r="G125" s="777"/>
      <c r="H125" s="353"/>
      <c r="I125" s="777"/>
      <c r="J125" s="777"/>
      <c r="K125" s="777"/>
      <c r="L125" s="777"/>
      <c r="M125" s="353"/>
      <c r="N125" s="777"/>
      <c r="O125" s="777"/>
      <c r="P125" s="777"/>
      <c r="Q125" s="777"/>
      <c r="R125" s="353"/>
      <c r="S125" s="777"/>
      <c r="T125" s="777"/>
      <c r="U125" s="777"/>
      <c r="V125" s="777"/>
      <c r="W125" s="353"/>
      <c r="X125" s="777"/>
      <c r="Y125" s="777"/>
      <c r="Z125" s="777"/>
      <c r="AA125" s="777"/>
      <c r="AB125" s="413"/>
      <c r="AC125" s="416"/>
    </row>
    <row r="126" spans="1:29" ht="14.25">
      <c r="A126" s="464"/>
      <c r="B126" s="1073"/>
      <c r="C126" s="289"/>
      <c r="D126" s="797"/>
      <c r="E126" s="797"/>
      <c r="F126" s="797"/>
      <c r="G126" s="797"/>
      <c r="H126" s="353"/>
      <c r="I126" s="797"/>
      <c r="J126" s="797"/>
      <c r="K126" s="797"/>
      <c r="L126" s="797"/>
      <c r="M126" s="353"/>
      <c r="N126" s="797"/>
      <c r="O126" s="797"/>
      <c r="P126" s="797"/>
      <c r="Q126" s="797"/>
      <c r="R126" s="353"/>
      <c r="S126" s="797"/>
      <c r="T126" s="797"/>
      <c r="U126" s="797"/>
      <c r="V126" s="797"/>
      <c r="W126" s="353"/>
      <c r="X126" s="797"/>
      <c r="Y126" s="797"/>
      <c r="Z126" s="797"/>
      <c r="AA126" s="797"/>
      <c r="AB126" s="413"/>
    </row>
    <row r="127" spans="1:29" ht="12.6" customHeight="1">
      <c r="A127" s="464"/>
      <c r="B127" s="1073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>
      <c r="A128" s="464"/>
      <c r="B128" s="1073"/>
      <c r="C128" s="289"/>
      <c r="D128" s="797"/>
      <c r="E128" s="797"/>
      <c r="F128" s="797"/>
      <c r="G128" s="797"/>
      <c r="H128" s="353"/>
      <c r="I128" s="797"/>
      <c r="J128" s="797"/>
      <c r="K128" s="797"/>
      <c r="L128" s="797"/>
      <c r="M128" s="353"/>
      <c r="N128" s="797"/>
      <c r="O128" s="797"/>
      <c r="P128" s="797"/>
      <c r="Q128" s="797"/>
      <c r="R128" s="353"/>
      <c r="S128" s="797"/>
      <c r="T128" s="797"/>
      <c r="U128" s="797"/>
      <c r="V128" s="797"/>
      <c r="W128" s="353"/>
      <c r="X128" s="797"/>
      <c r="Y128" s="797"/>
      <c r="Z128" s="797"/>
      <c r="AA128" s="797"/>
      <c r="AB128" s="413"/>
    </row>
    <row r="129" spans="1:29" ht="14.25">
      <c r="A129" s="464"/>
      <c r="B129" s="1073"/>
      <c r="C129" s="289"/>
      <c r="D129" s="797"/>
      <c r="E129" s="797"/>
      <c r="F129" s="797"/>
      <c r="G129" s="797"/>
      <c r="H129" s="353"/>
      <c r="I129" s="797"/>
      <c r="J129" s="797"/>
      <c r="K129" s="797"/>
      <c r="L129" s="797"/>
      <c r="M129" s="353"/>
      <c r="N129" s="797"/>
      <c r="O129" s="797"/>
      <c r="P129" s="797"/>
      <c r="Q129" s="797"/>
      <c r="R129" s="353"/>
      <c r="S129" s="797"/>
      <c r="T129" s="797"/>
      <c r="U129" s="797"/>
      <c r="V129" s="797"/>
      <c r="W129" s="353"/>
      <c r="X129" s="797"/>
      <c r="Y129" s="797"/>
      <c r="Z129" s="797"/>
      <c r="AA129" s="797"/>
      <c r="AB129" s="413"/>
    </row>
    <row r="130" spans="1:29" ht="14.25">
      <c r="A130" s="464"/>
      <c r="B130" s="1073"/>
      <c r="C130" s="289"/>
      <c r="D130" s="800"/>
      <c r="E130" s="800"/>
      <c r="F130" s="800"/>
      <c r="G130" s="800"/>
      <c r="H130" s="353"/>
      <c r="I130" s="797"/>
      <c r="J130" s="797"/>
      <c r="K130" s="797"/>
      <c r="L130" s="797"/>
      <c r="M130" s="353"/>
      <c r="N130" s="797"/>
      <c r="O130" s="797"/>
      <c r="P130" s="797"/>
      <c r="Q130" s="797"/>
      <c r="R130" s="353"/>
      <c r="S130" s="797"/>
      <c r="T130" s="797"/>
      <c r="U130" s="797"/>
      <c r="V130" s="797"/>
      <c r="W130" s="353"/>
      <c r="X130" s="797"/>
      <c r="Y130" s="797"/>
      <c r="Z130" s="797"/>
      <c r="AA130" s="797"/>
      <c r="AB130" s="413"/>
    </row>
    <row r="131" spans="1:29" ht="15">
      <c r="A131" s="464"/>
      <c r="B131" s="1073"/>
      <c r="C131" s="264"/>
      <c r="D131" s="976" t="s">
        <v>240</v>
      </c>
      <c r="E131" s="977"/>
      <c r="F131" s="977"/>
      <c r="G131" s="978"/>
      <c r="H131" s="293"/>
      <c r="I131" s="976" t="s">
        <v>241</v>
      </c>
      <c r="J131" s="977"/>
      <c r="K131" s="977"/>
      <c r="L131" s="978"/>
      <c r="M131" s="293"/>
      <c r="N131" s="976" t="s">
        <v>242</v>
      </c>
      <c r="O131" s="977"/>
      <c r="P131" s="977"/>
      <c r="Q131" s="978"/>
      <c r="R131" s="293"/>
      <c r="S131" s="976" t="s">
        <v>243</v>
      </c>
      <c r="T131" s="977"/>
      <c r="U131" s="977"/>
      <c r="V131" s="978"/>
      <c r="W131" s="293"/>
      <c r="X131" s="976" t="s">
        <v>244</v>
      </c>
      <c r="Y131" s="977"/>
      <c r="Z131" s="977"/>
      <c r="AA131" s="978"/>
      <c r="AB131" s="256"/>
    </row>
    <row r="132" spans="1:29" ht="13.5" customHeight="1">
      <c r="A132" s="464"/>
      <c r="B132" s="1073"/>
      <c r="C132" s="264"/>
      <c r="D132" s="1093" t="s">
        <v>286</v>
      </c>
      <c r="E132" s="1093"/>
      <c r="F132" s="1093"/>
      <c r="G132" s="1093"/>
      <c r="H132" s="354"/>
      <c r="I132" s="1101" t="s">
        <v>285</v>
      </c>
      <c r="J132" s="784"/>
      <c r="K132" s="784"/>
      <c r="L132" s="785"/>
      <c r="M132" s="354"/>
      <c r="N132" s="1101" t="s">
        <v>282</v>
      </c>
      <c r="O132" s="784"/>
      <c r="P132" s="784"/>
      <c r="Q132" s="784"/>
      <c r="R132" s="462"/>
      <c r="S132" s="784" t="s">
        <v>284</v>
      </c>
      <c r="T132" s="784"/>
      <c r="U132" s="784"/>
      <c r="V132" s="785"/>
      <c r="W132" s="354"/>
      <c r="X132" s="1101" t="s">
        <v>283</v>
      </c>
      <c r="Y132" s="784"/>
      <c r="Z132" s="784"/>
      <c r="AA132" s="785"/>
      <c r="AB132" s="259"/>
    </row>
    <row r="133" spans="1:29" s="284" customFormat="1" ht="13.5" customHeight="1" thickBot="1">
      <c r="A133" s="472"/>
      <c r="B133" s="1073"/>
      <c r="C133" s="282"/>
      <c r="D133" s="816" t="s">
        <v>577</v>
      </c>
      <c r="E133" s="817"/>
      <c r="F133" s="982"/>
      <c r="G133" s="983"/>
      <c r="H133" s="301"/>
      <c r="I133" s="816" t="s">
        <v>579</v>
      </c>
      <c r="J133" s="817"/>
      <c r="K133" s="982"/>
      <c r="L133" s="983"/>
      <c r="M133" s="301"/>
      <c r="N133" s="816" t="s">
        <v>580</v>
      </c>
      <c r="O133" s="817"/>
      <c r="P133" s="982"/>
      <c r="Q133" s="982"/>
      <c r="R133" s="463"/>
      <c r="S133" s="817" t="s">
        <v>581</v>
      </c>
      <c r="T133" s="817"/>
      <c r="U133" s="982"/>
      <c r="V133" s="983"/>
      <c r="W133" s="301"/>
      <c r="X133" s="816" t="s">
        <v>595</v>
      </c>
      <c r="Y133" s="817"/>
      <c r="Z133" s="982"/>
      <c r="AA133" s="983"/>
      <c r="AB133" s="285"/>
      <c r="AC133" s="421"/>
    </row>
    <row r="134" spans="1:29" s="200" customFormat="1" ht="16.149999999999999" customHeight="1" thickBot="1">
      <c r="A134" s="473"/>
      <c r="B134" s="1073"/>
      <c r="C134" s="264"/>
      <c r="D134" s="1007">
        <v>1.23</v>
      </c>
      <c r="E134" s="969"/>
      <c r="F134" s="832">
        <v>0</v>
      </c>
      <c r="G134" s="961"/>
      <c r="H134" s="293"/>
      <c r="I134" s="1007">
        <v>2.13</v>
      </c>
      <c r="J134" s="969"/>
      <c r="K134" s="832"/>
      <c r="L134" s="961"/>
      <c r="M134" s="293"/>
      <c r="N134" s="1007">
        <v>3.08</v>
      </c>
      <c r="O134" s="969"/>
      <c r="P134" s="832">
        <v>0</v>
      </c>
      <c r="Q134" s="961"/>
      <c r="R134" s="293"/>
      <c r="S134" s="1007">
        <v>1.96</v>
      </c>
      <c r="T134" s="969"/>
      <c r="U134" s="832">
        <v>0</v>
      </c>
      <c r="V134" s="961"/>
      <c r="W134" s="293"/>
      <c r="X134" s="1007">
        <v>4.2</v>
      </c>
      <c r="Y134" s="969"/>
      <c r="Z134" s="832">
        <v>0</v>
      </c>
      <c r="AA134" s="961"/>
      <c r="AB134" s="256"/>
      <c r="AC134" s="422"/>
    </row>
    <row r="135" spans="1:29" s="199" customFormat="1" ht="10.15" customHeight="1">
      <c r="A135" s="471"/>
      <c r="B135" s="1073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4.25">
      <c r="A136" s="464"/>
      <c r="B136" s="1073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77"/>
      <c r="O136" s="777"/>
      <c r="P136" s="777"/>
      <c r="Q136" s="777"/>
      <c r="R136" s="353"/>
      <c r="S136" s="777"/>
      <c r="T136" s="777"/>
      <c r="U136" s="777"/>
      <c r="V136" s="777"/>
      <c r="W136" s="353"/>
      <c r="X136" s="777"/>
      <c r="Y136" s="777"/>
      <c r="Z136" s="777"/>
      <c r="AA136" s="777"/>
      <c r="AB136" s="413"/>
    </row>
    <row r="137" spans="1:29" ht="14.25">
      <c r="A137" s="464"/>
      <c r="B137" s="1073"/>
      <c r="C137" s="289"/>
      <c r="D137" s="797"/>
      <c r="E137" s="797"/>
      <c r="F137" s="797"/>
      <c r="G137" s="797"/>
      <c r="H137" s="353"/>
      <c r="I137" s="797"/>
      <c r="J137" s="797"/>
      <c r="K137" s="797"/>
      <c r="L137" s="797"/>
      <c r="M137" s="353"/>
      <c r="N137" s="811"/>
      <c r="O137" s="949"/>
      <c r="P137" s="949"/>
      <c r="Q137" s="811"/>
      <c r="R137" s="353"/>
      <c r="S137" s="811"/>
      <c r="T137" s="949"/>
      <c r="U137" s="949"/>
      <c r="V137" s="811"/>
      <c r="W137" s="353"/>
      <c r="X137" s="777"/>
      <c r="Y137" s="777"/>
      <c r="Z137" s="777"/>
      <c r="AA137" s="777"/>
      <c r="AB137" s="413"/>
    </row>
    <row r="138" spans="1:29" ht="14.25">
      <c r="A138" s="464"/>
      <c r="B138" s="1073"/>
      <c r="C138" s="289"/>
      <c r="D138" s="797"/>
      <c r="E138" s="797"/>
      <c r="F138" s="797"/>
      <c r="G138" s="797"/>
      <c r="H138" s="353"/>
      <c r="I138" s="797"/>
      <c r="J138" s="797"/>
      <c r="K138" s="797"/>
      <c r="L138" s="797"/>
      <c r="M138" s="353"/>
      <c r="N138" s="811"/>
      <c r="O138" s="949"/>
      <c r="P138" s="949"/>
      <c r="Q138" s="811"/>
      <c r="R138" s="353"/>
      <c r="S138" s="811"/>
      <c r="T138" s="949"/>
      <c r="U138" s="949"/>
      <c r="V138" s="811"/>
      <c r="W138" s="353"/>
      <c r="X138" s="335"/>
      <c r="Y138" s="335"/>
      <c r="Z138" s="335"/>
      <c r="AA138" s="335"/>
      <c r="AB138" s="413"/>
    </row>
    <row r="139" spans="1:29" ht="14.25">
      <c r="A139" s="464"/>
      <c r="B139" s="1073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1"/>
      <c r="O139" s="949"/>
      <c r="P139" s="949"/>
      <c r="Q139" s="811"/>
      <c r="R139" s="353"/>
      <c r="S139" s="811"/>
      <c r="T139" s="949"/>
      <c r="U139" s="949"/>
      <c r="V139" s="811"/>
      <c r="W139" s="353"/>
      <c r="X139" s="777"/>
      <c r="Y139" s="777"/>
      <c r="Z139" s="777"/>
      <c r="AA139" s="777"/>
      <c r="AB139" s="413"/>
    </row>
    <row r="140" spans="1:29" ht="14.25">
      <c r="A140" s="464"/>
      <c r="B140" s="1073"/>
      <c r="C140" s="289"/>
      <c r="D140" s="797"/>
      <c r="E140" s="797"/>
      <c r="F140" s="797"/>
      <c r="G140" s="797"/>
      <c r="H140" s="353"/>
      <c r="I140" s="797"/>
      <c r="J140" s="797"/>
      <c r="K140" s="797"/>
      <c r="L140" s="797"/>
      <c r="M140" s="353"/>
      <c r="N140" s="811"/>
      <c r="O140" s="949"/>
      <c r="P140" s="949"/>
      <c r="Q140" s="811"/>
      <c r="R140" s="353"/>
      <c r="S140" s="811"/>
      <c r="T140" s="949"/>
      <c r="U140" s="949"/>
      <c r="V140" s="811"/>
      <c r="W140" s="353"/>
      <c r="X140" s="777"/>
      <c r="Y140" s="777"/>
      <c r="Z140" s="777"/>
      <c r="AA140" s="777"/>
      <c r="AB140" s="413"/>
    </row>
    <row r="141" spans="1:29" ht="13.5" customHeight="1">
      <c r="A141" s="464"/>
      <c r="B141" s="1073"/>
      <c r="C141" s="289"/>
      <c r="D141" s="797"/>
      <c r="E141" s="797"/>
      <c r="F141" s="797"/>
      <c r="G141" s="797"/>
      <c r="H141" s="353"/>
      <c r="I141" s="797"/>
      <c r="J141" s="797"/>
      <c r="K141" s="797"/>
      <c r="L141" s="797"/>
      <c r="M141" s="353"/>
      <c r="N141" s="811"/>
      <c r="O141" s="811"/>
      <c r="P141" s="811"/>
      <c r="Q141" s="811"/>
      <c r="R141" s="353"/>
      <c r="S141" s="811"/>
      <c r="T141" s="811"/>
      <c r="U141" s="811"/>
      <c r="V141" s="811"/>
      <c r="W141" s="353"/>
      <c r="X141" s="777"/>
      <c r="Y141" s="777"/>
      <c r="Z141" s="777"/>
      <c r="AA141" s="777"/>
      <c r="AB141" s="413"/>
    </row>
    <row r="142" spans="1:29" ht="15">
      <c r="A142" s="464"/>
      <c r="B142" s="1073"/>
      <c r="C142" s="264"/>
      <c r="D142" s="813" t="s">
        <v>245</v>
      </c>
      <c r="E142" s="814"/>
      <c r="F142" s="814"/>
      <c r="G142" s="815"/>
      <c r="H142" s="293"/>
      <c r="I142" s="813" t="s">
        <v>246</v>
      </c>
      <c r="J142" s="814"/>
      <c r="K142" s="814"/>
      <c r="L142" s="815"/>
      <c r="M142" s="293"/>
      <c r="N142" s="813" t="s">
        <v>247</v>
      </c>
      <c r="O142" s="814"/>
      <c r="P142" s="814"/>
      <c r="Q142" s="815"/>
      <c r="R142" s="293"/>
      <c r="S142" s="813" t="s">
        <v>248</v>
      </c>
      <c r="T142" s="814"/>
      <c r="U142" s="814"/>
      <c r="V142" s="815"/>
      <c r="W142" s="293"/>
      <c r="X142" s="1074" t="s">
        <v>249</v>
      </c>
      <c r="Y142" s="1075"/>
      <c r="Z142" s="1075"/>
      <c r="AA142" s="1076"/>
      <c r="AB142" s="256"/>
    </row>
    <row r="143" spans="1:29" s="284" customFormat="1" ht="13.5" customHeight="1">
      <c r="A143" s="472"/>
      <c r="B143" s="1073"/>
      <c r="C143" s="282"/>
      <c r="D143" s="1086" t="s">
        <v>396</v>
      </c>
      <c r="E143" s="982"/>
      <c r="F143" s="982"/>
      <c r="G143" s="983"/>
      <c r="H143" s="347"/>
      <c r="I143" s="1086" t="s">
        <v>395</v>
      </c>
      <c r="J143" s="982"/>
      <c r="K143" s="982"/>
      <c r="L143" s="983"/>
      <c r="M143" s="347"/>
      <c r="N143" s="1086" t="s">
        <v>394</v>
      </c>
      <c r="O143" s="982"/>
      <c r="P143" s="982"/>
      <c r="Q143" s="983"/>
      <c r="R143" s="347"/>
      <c r="S143" s="1086" t="s">
        <v>393</v>
      </c>
      <c r="T143" s="982"/>
      <c r="U143" s="982"/>
      <c r="V143" s="983"/>
      <c r="W143" s="347"/>
      <c r="X143" s="1080" t="s">
        <v>392</v>
      </c>
      <c r="Y143" s="1081"/>
      <c r="Z143" s="1081"/>
      <c r="AA143" s="1082"/>
      <c r="AB143" s="414"/>
      <c r="AC143" s="421"/>
    </row>
    <row r="144" spans="1:29" s="284" customFormat="1" ht="13.5" customHeight="1" thickBot="1">
      <c r="A144" s="472"/>
      <c r="B144" s="1073"/>
      <c r="C144" s="282"/>
      <c r="D144" s="816" t="s">
        <v>588</v>
      </c>
      <c r="E144" s="817"/>
      <c r="F144" s="982"/>
      <c r="G144" s="983"/>
      <c r="H144" s="301"/>
      <c r="I144" s="816" t="s">
        <v>589</v>
      </c>
      <c r="J144" s="817"/>
      <c r="K144" s="982"/>
      <c r="L144" s="983"/>
      <c r="M144" s="301"/>
      <c r="N144" s="816" t="s">
        <v>582</v>
      </c>
      <c r="O144" s="817"/>
      <c r="P144" s="982"/>
      <c r="Q144" s="983"/>
      <c r="R144" s="301"/>
      <c r="S144" s="816" t="s">
        <v>583</v>
      </c>
      <c r="T144" s="817"/>
      <c r="U144" s="982"/>
      <c r="V144" s="983"/>
      <c r="W144" s="301"/>
      <c r="X144" s="816" t="s">
        <v>584</v>
      </c>
      <c r="Y144" s="817"/>
      <c r="Z144" s="982"/>
      <c r="AA144" s="983"/>
      <c r="AB144" s="285"/>
      <c r="AC144" s="421"/>
    </row>
    <row r="145" spans="1:29" s="199" customFormat="1" ht="16.149999999999999" customHeight="1" thickBot="1">
      <c r="A145" s="471"/>
      <c r="B145" s="1073"/>
      <c r="C145" s="264"/>
      <c r="D145" s="951">
        <v>2.2599999999999998</v>
      </c>
      <c r="E145" s="1085"/>
      <c r="F145" s="1099">
        <v>0</v>
      </c>
      <c r="G145" s="1100"/>
      <c r="H145" s="293"/>
      <c r="I145" s="1007">
        <v>3.29</v>
      </c>
      <c r="J145" s="969"/>
      <c r="K145" s="832">
        <v>0</v>
      </c>
      <c r="L145" s="961"/>
      <c r="M145" s="293"/>
      <c r="N145" s="1007">
        <v>1.23</v>
      </c>
      <c r="O145" s="969"/>
      <c r="P145" s="832">
        <v>0</v>
      </c>
      <c r="Q145" s="961"/>
      <c r="R145" s="293"/>
      <c r="S145" s="1007">
        <v>1.53</v>
      </c>
      <c r="T145" s="969"/>
      <c r="U145" s="832">
        <v>0</v>
      </c>
      <c r="V145" s="961"/>
      <c r="W145" s="293"/>
      <c r="X145" s="1097">
        <v>1.93</v>
      </c>
      <c r="Y145" s="1098"/>
      <c r="Z145" s="832">
        <v>0</v>
      </c>
      <c r="AA145" s="961"/>
      <c r="AB145" s="256"/>
      <c r="AC145" s="420"/>
    </row>
    <row r="146" spans="1:29" ht="10.15" customHeight="1">
      <c r="A146" s="464"/>
      <c r="B146" s="1073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4.25">
      <c r="A147" s="464"/>
      <c r="B147" s="1073"/>
      <c r="C147" s="289"/>
      <c r="D147" s="777"/>
      <c r="E147" s="777"/>
      <c r="F147" s="777"/>
      <c r="G147" s="777"/>
      <c r="H147" s="353"/>
      <c r="I147" s="797"/>
      <c r="J147" s="797"/>
      <c r="K147" s="797"/>
      <c r="L147" s="797"/>
      <c r="M147" s="353"/>
      <c r="N147" s="1051"/>
      <c r="O147" s="1052"/>
      <c r="P147" s="1052"/>
      <c r="Q147" s="1052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3"/>
    </row>
    <row r="148" spans="1:29" ht="14.25">
      <c r="A148" s="464"/>
      <c r="B148" s="1073"/>
      <c r="C148" s="289"/>
      <c r="D148" s="811"/>
      <c r="E148" s="949"/>
      <c r="F148" s="949"/>
      <c r="G148" s="811"/>
      <c r="H148" s="353"/>
      <c r="I148" s="1083"/>
      <c r="J148" s="1084"/>
      <c r="K148" s="1084"/>
      <c r="L148" s="1083"/>
      <c r="M148" s="353"/>
      <c r="N148" s="1052"/>
      <c r="O148" s="1053"/>
      <c r="P148" s="1053"/>
      <c r="Q148" s="1052"/>
      <c r="R148" s="353"/>
      <c r="S148" s="797"/>
      <c r="T148" s="797"/>
      <c r="U148" s="797"/>
      <c r="V148" s="797"/>
      <c r="W148" s="353"/>
      <c r="X148" s="1083"/>
      <c r="Y148" s="1084"/>
      <c r="Z148" s="1084"/>
      <c r="AA148" s="1083"/>
      <c r="AB148" s="413"/>
    </row>
    <row r="149" spans="1:29" ht="14.25">
      <c r="A149" s="464"/>
      <c r="B149" s="1073"/>
      <c r="C149" s="289"/>
      <c r="D149" s="811"/>
      <c r="E149" s="949"/>
      <c r="F149" s="949"/>
      <c r="G149" s="811"/>
      <c r="H149" s="353"/>
      <c r="I149" s="1083"/>
      <c r="J149" s="1084"/>
      <c r="K149" s="1084"/>
      <c r="L149" s="1083"/>
      <c r="M149" s="353"/>
      <c r="N149" s="1052"/>
      <c r="O149" s="1053"/>
      <c r="P149" s="1053"/>
      <c r="Q149" s="1052"/>
      <c r="R149" s="353"/>
      <c r="S149" s="797"/>
      <c r="T149" s="797"/>
      <c r="U149" s="797"/>
      <c r="V149" s="797"/>
      <c r="W149" s="353"/>
      <c r="X149" s="1083"/>
      <c r="Y149" s="1084"/>
      <c r="Z149" s="1084"/>
      <c r="AA149" s="1083"/>
      <c r="AB149" s="413"/>
    </row>
    <row r="150" spans="1:29" ht="14.25">
      <c r="A150" s="464"/>
      <c r="B150" s="1073"/>
      <c r="C150" s="289"/>
      <c r="D150" s="811"/>
      <c r="E150" s="949"/>
      <c r="F150" s="949"/>
      <c r="G150" s="811"/>
      <c r="H150" s="353"/>
      <c r="I150" s="1083"/>
      <c r="J150" s="1084"/>
      <c r="K150" s="1084"/>
      <c r="L150" s="1083"/>
      <c r="M150" s="353"/>
      <c r="N150" s="1052"/>
      <c r="O150" s="1053"/>
      <c r="P150" s="1053"/>
      <c r="Q150" s="1052"/>
      <c r="R150" s="353"/>
      <c r="S150" s="797"/>
      <c r="T150" s="797"/>
      <c r="U150" s="797"/>
      <c r="V150" s="797"/>
      <c r="W150" s="353"/>
      <c r="X150" s="1083"/>
      <c r="Y150" s="1084"/>
      <c r="Z150" s="1084"/>
      <c r="AA150" s="1083"/>
      <c r="AB150" s="413"/>
    </row>
    <row r="151" spans="1:29" ht="13.5" customHeight="1">
      <c r="A151" s="464"/>
      <c r="B151" s="1073"/>
      <c r="C151" s="289"/>
      <c r="D151" s="811"/>
      <c r="E151" s="949"/>
      <c r="F151" s="949"/>
      <c r="G151" s="811"/>
      <c r="H151" s="353"/>
      <c r="I151" s="1083"/>
      <c r="J151" s="1084"/>
      <c r="K151" s="1084"/>
      <c r="L151" s="1083"/>
      <c r="M151" s="353"/>
      <c r="N151" s="1052"/>
      <c r="O151" s="1053"/>
      <c r="P151" s="1053"/>
      <c r="Q151" s="1052"/>
      <c r="R151" s="353"/>
      <c r="S151" s="797"/>
      <c r="T151" s="797"/>
      <c r="U151" s="797"/>
      <c r="V151" s="797"/>
      <c r="W151" s="353"/>
      <c r="X151" s="1083"/>
      <c r="Y151" s="1084"/>
      <c r="Z151" s="1084"/>
      <c r="AA151" s="1083"/>
      <c r="AB151" s="413"/>
    </row>
    <row r="152" spans="1:29" ht="14.25">
      <c r="A152" s="464"/>
      <c r="B152" s="1073"/>
      <c r="C152" s="289"/>
      <c r="D152" s="811"/>
      <c r="E152" s="811"/>
      <c r="F152" s="811"/>
      <c r="G152" s="811"/>
      <c r="H152" s="353"/>
      <c r="I152" s="1083"/>
      <c r="J152" s="1083"/>
      <c r="K152" s="1083"/>
      <c r="L152" s="1083"/>
      <c r="M152" s="353"/>
      <c r="N152" s="1052"/>
      <c r="O152" s="1052"/>
      <c r="P152" s="1052"/>
      <c r="Q152" s="1052"/>
      <c r="R152" s="353"/>
      <c r="S152" s="797"/>
      <c r="T152" s="797"/>
      <c r="U152" s="797"/>
      <c r="V152" s="797"/>
      <c r="W152" s="353"/>
      <c r="X152" s="1083"/>
      <c r="Y152" s="1083"/>
      <c r="Z152" s="1083"/>
      <c r="AA152" s="1083"/>
      <c r="AB152" s="413"/>
    </row>
    <row r="153" spans="1:29" ht="15">
      <c r="A153" s="464"/>
      <c r="B153" s="1073"/>
      <c r="C153" s="264"/>
      <c r="D153" s="1087" t="s">
        <v>250</v>
      </c>
      <c r="E153" s="1088"/>
      <c r="F153" s="1088"/>
      <c r="G153" s="1089"/>
      <c r="H153" s="293"/>
      <c r="I153" s="1074" t="s">
        <v>251</v>
      </c>
      <c r="J153" s="1075"/>
      <c r="K153" s="1075"/>
      <c r="L153" s="1076"/>
      <c r="M153" s="293"/>
      <c r="N153" s="1087" t="s">
        <v>252</v>
      </c>
      <c r="O153" s="1088"/>
      <c r="P153" s="1088"/>
      <c r="Q153" s="1102"/>
      <c r="R153" s="353"/>
      <c r="S153" s="1090" t="s">
        <v>253</v>
      </c>
      <c r="T153" s="1088"/>
      <c r="U153" s="1088"/>
      <c r="V153" s="1089"/>
      <c r="W153" s="293"/>
      <c r="X153" s="1087" t="s">
        <v>254</v>
      </c>
      <c r="Y153" s="1088"/>
      <c r="Z153" s="1088"/>
      <c r="AA153" s="1089"/>
      <c r="AB153" s="256"/>
    </row>
    <row r="154" spans="1:29" ht="14.25">
      <c r="A154" s="464"/>
      <c r="B154" s="1073"/>
      <c r="C154" s="264"/>
      <c r="D154" s="782" t="s">
        <v>397</v>
      </c>
      <c r="E154" s="783"/>
      <c r="F154" s="783"/>
      <c r="G154" s="789"/>
      <c r="H154" s="354"/>
      <c r="I154" s="1094" t="s">
        <v>398</v>
      </c>
      <c r="J154" s="1095"/>
      <c r="K154" s="1095"/>
      <c r="L154" s="1096"/>
      <c r="M154" s="354"/>
      <c r="N154" s="1092" t="s">
        <v>399</v>
      </c>
      <c r="O154" s="1092"/>
      <c r="P154" s="1093"/>
      <c r="Q154" s="1093"/>
      <c r="R154" s="354"/>
      <c r="S154" s="1092" t="s">
        <v>400</v>
      </c>
      <c r="T154" s="1092"/>
      <c r="U154" s="1093"/>
      <c r="V154" s="1093"/>
      <c r="W154" s="354"/>
      <c r="X154" s="1094" t="s">
        <v>499</v>
      </c>
      <c r="Y154" s="1095"/>
      <c r="Z154" s="1095"/>
      <c r="AA154" s="1096"/>
      <c r="AB154" s="259"/>
    </row>
    <row r="155" spans="1:29" s="284" customFormat="1" ht="15" thickBot="1">
      <c r="A155" s="472"/>
      <c r="B155" s="1073"/>
      <c r="C155" s="282"/>
      <c r="D155" s="816" t="s">
        <v>585</v>
      </c>
      <c r="E155" s="817"/>
      <c r="F155" s="982"/>
      <c r="G155" s="983"/>
      <c r="H155" s="301"/>
      <c r="I155" s="816" t="s">
        <v>586</v>
      </c>
      <c r="J155" s="817"/>
      <c r="K155" s="982"/>
      <c r="L155" s="983"/>
      <c r="M155" s="301"/>
      <c r="N155" s="816" t="s">
        <v>587</v>
      </c>
      <c r="O155" s="817"/>
      <c r="P155" s="982"/>
      <c r="Q155" s="983"/>
      <c r="R155" s="301"/>
      <c r="S155" s="816" t="s">
        <v>590</v>
      </c>
      <c r="T155" s="817"/>
      <c r="U155" s="982"/>
      <c r="V155" s="983"/>
      <c r="W155" s="301"/>
      <c r="X155" s="816" t="s">
        <v>591</v>
      </c>
      <c r="Y155" s="817"/>
      <c r="Z155" s="982"/>
      <c r="AA155" s="983"/>
      <c r="AB155" s="285"/>
      <c r="AC155" s="421"/>
    </row>
    <row r="156" spans="1:29" s="199" customFormat="1" ht="16.149999999999999" customHeight="1" thickBot="1">
      <c r="A156" s="471"/>
      <c r="B156" s="1073"/>
      <c r="C156" s="264"/>
      <c r="D156" s="1007">
        <v>1.93</v>
      </c>
      <c r="E156" s="969"/>
      <c r="F156" s="832">
        <v>0</v>
      </c>
      <c r="G156" s="961"/>
      <c r="H156" s="293"/>
      <c r="I156" s="1097">
        <v>1.88</v>
      </c>
      <c r="J156" s="1098"/>
      <c r="K156" s="832">
        <v>0</v>
      </c>
      <c r="L156" s="961"/>
      <c r="M156" s="293"/>
      <c r="N156" s="1007">
        <v>1.51</v>
      </c>
      <c r="O156" s="969"/>
      <c r="P156" s="832">
        <v>0</v>
      </c>
      <c r="Q156" s="961"/>
      <c r="R156" s="293"/>
      <c r="S156" s="1007">
        <v>4.12</v>
      </c>
      <c r="T156" s="969"/>
      <c r="U156" s="832">
        <v>0</v>
      </c>
      <c r="V156" s="961"/>
      <c r="W156" s="293"/>
      <c r="X156" s="1097">
        <v>1.63</v>
      </c>
      <c r="Y156" s="1098"/>
      <c r="Z156" s="832">
        <v>0</v>
      </c>
      <c r="AA156" s="961"/>
      <c r="AB156" s="256"/>
      <c r="AC156" s="420"/>
    </row>
    <row r="157" spans="1:29" ht="10.15" customHeight="1">
      <c r="A157" s="464"/>
      <c r="B157" s="1073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4.25">
      <c r="A158" s="464"/>
      <c r="B158" s="1073"/>
      <c r="C158" s="289"/>
      <c r="D158" s="1051"/>
      <c r="E158" s="1052"/>
      <c r="F158" s="1052"/>
      <c r="G158" s="1052"/>
      <c r="H158" s="353"/>
      <c r="I158" s="797"/>
      <c r="J158" s="797"/>
      <c r="K158" s="797"/>
      <c r="L158" s="797"/>
      <c r="M158" s="353"/>
      <c r="N158" s="843"/>
      <c r="O158" s="844"/>
      <c r="P158" s="844"/>
      <c r="Q158" s="844"/>
      <c r="R158" s="343"/>
      <c r="S158" s="843"/>
      <c r="T158" s="844"/>
      <c r="U158" s="844"/>
      <c r="V158" s="844"/>
      <c r="W158" s="293"/>
      <c r="X158" s="846"/>
      <c r="Y158" s="846"/>
      <c r="Z158" s="846"/>
      <c r="AA158" s="846"/>
      <c r="AB158" s="256"/>
    </row>
    <row r="159" spans="1:29" ht="14.25">
      <c r="A159" s="464"/>
      <c r="B159" s="1073"/>
      <c r="C159" s="289"/>
      <c r="D159" s="1052"/>
      <c r="E159" s="1053"/>
      <c r="F159" s="1053"/>
      <c r="G159" s="1052"/>
      <c r="H159" s="353"/>
      <c r="I159" s="1083"/>
      <c r="J159" s="1084"/>
      <c r="K159" s="1084"/>
      <c r="L159" s="1083"/>
      <c r="M159" s="353"/>
      <c r="N159" s="844"/>
      <c r="O159" s="845"/>
      <c r="P159" s="845"/>
      <c r="Q159" s="844"/>
      <c r="R159" s="343"/>
      <c r="S159" s="844"/>
      <c r="T159" s="845"/>
      <c r="U159" s="845"/>
      <c r="V159" s="844"/>
      <c r="W159" s="293"/>
      <c r="X159" s="846"/>
      <c r="Y159" s="846"/>
      <c r="Z159" s="846"/>
      <c r="AA159" s="846"/>
      <c r="AB159" s="256"/>
    </row>
    <row r="160" spans="1:29" ht="14.25">
      <c r="A160" s="464"/>
      <c r="B160" s="1073"/>
      <c r="C160" s="289"/>
      <c r="D160" s="1052"/>
      <c r="E160" s="1053"/>
      <c r="F160" s="1053"/>
      <c r="G160" s="1052"/>
      <c r="H160" s="353"/>
      <c r="I160" s="1083"/>
      <c r="J160" s="1084"/>
      <c r="K160" s="1084"/>
      <c r="L160" s="1083"/>
      <c r="M160" s="353"/>
      <c r="N160" s="844"/>
      <c r="O160" s="845"/>
      <c r="P160" s="845"/>
      <c r="Q160" s="844"/>
      <c r="R160" s="343"/>
      <c r="S160" s="844"/>
      <c r="T160" s="845"/>
      <c r="U160" s="845"/>
      <c r="V160" s="844"/>
      <c r="W160" s="293"/>
      <c r="X160" s="846"/>
      <c r="Y160" s="846"/>
      <c r="Z160" s="846"/>
      <c r="AA160" s="846"/>
      <c r="AB160" s="256"/>
    </row>
    <row r="161" spans="1:29" ht="12" customHeight="1">
      <c r="A161" s="464"/>
      <c r="B161" s="1073"/>
      <c r="C161" s="289"/>
      <c r="D161" s="1052"/>
      <c r="E161" s="1053"/>
      <c r="F161" s="1053"/>
      <c r="G161" s="1052"/>
      <c r="H161" s="353"/>
      <c r="I161" s="1083"/>
      <c r="J161" s="1084"/>
      <c r="K161" s="1084"/>
      <c r="L161" s="1083"/>
      <c r="M161" s="353"/>
      <c r="N161" s="844"/>
      <c r="O161" s="845"/>
      <c r="P161" s="845"/>
      <c r="Q161" s="844"/>
      <c r="R161" s="343"/>
      <c r="S161" s="844"/>
      <c r="T161" s="845"/>
      <c r="U161" s="845"/>
      <c r="V161" s="844"/>
      <c r="W161" s="293"/>
      <c r="X161" s="322"/>
      <c r="Y161" s="322"/>
      <c r="Z161" s="322"/>
      <c r="AA161" s="322"/>
      <c r="AB161" s="256"/>
    </row>
    <row r="162" spans="1:29" ht="14.25">
      <c r="A162" s="464"/>
      <c r="B162" s="1073"/>
      <c r="C162" s="289"/>
      <c r="D162" s="1052"/>
      <c r="E162" s="1053"/>
      <c r="F162" s="1053"/>
      <c r="G162" s="1052"/>
      <c r="H162" s="353"/>
      <c r="I162" s="1083"/>
      <c r="J162" s="1084"/>
      <c r="K162" s="1084"/>
      <c r="L162" s="1083"/>
      <c r="M162" s="353"/>
      <c r="N162" s="844"/>
      <c r="O162" s="845"/>
      <c r="P162" s="845"/>
      <c r="Q162" s="844"/>
      <c r="R162" s="343"/>
      <c r="S162" s="844"/>
      <c r="T162" s="845"/>
      <c r="U162" s="845"/>
      <c r="V162" s="844"/>
      <c r="W162" s="293"/>
      <c r="X162" s="846"/>
      <c r="Y162" s="846"/>
      <c r="Z162" s="846"/>
      <c r="AA162" s="846"/>
      <c r="AB162" s="256"/>
    </row>
    <row r="163" spans="1:29" ht="14.25">
      <c r="A163" s="464"/>
      <c r="B163" s="1073"/>
      <c r="C163" s="289"/>
      <c r="D163" s="1052"/>
      <c r="E163" s="1052"/>
      <c r="F163" s="1052"/>
      <c r="G163" s="1052"/>
      <c r="H163" s="353"/>
      <c r="I163" s="1083"/>
      <c r="J163" s="1083"/>
      <c r="K163" s="1083"/>
      <c r="L163" s="1083"/>
      <c r="M163" s="353"/>
      <c r="N163" s="844"/>
      <c r="O163" s="844"/>
      <c r="P163" s="844"/>
      <c r="Q163" s="844"/>
      <c r="R163" s="343"/>
      <c r="S163" s="844"/>
      <c r="T163" s="844"/>
      <c r="U163" s="844"/>
      <c r="V163" s="844"/>
      <c r="W163" s="293"/>
      <c r="X163" s="846"/>
      <c r="Y163" s="846"/>
      <c r="Z163" s="846"/>
      <c r="AA163" s="846"/>
      <c r="AB163" s="256"/>
    </row>
    <row r="164" spans="1:29" ht="15">
      <c r="A164" s="464"/>
      <c r="B164" s="1073"/>
      <c r="C164" s="264"/>
      <c r="D164" s="1087" t="s">
        <v>255</v>
      </c>
      <c r="E164" s="1088"/>
      <c r="F164" s="1088"/>
      <c r="G164" s="1089"/>
      <c r="H164" s="293"/>
      <c r="I164" s="1087" t="s">
        <v>852</v>
      </c>
      <c r="J164" s="1088"/>
      <c r="K164" s="1088"/>
      <c r="L164" s="1089"/>
      <c r="M164" s="293"/>
      <c r="N164" s="1074" t="s">
        <v>853</v>
      </c>
      <c r="O164" s="1075"/>
      <c r="P164" s="1075"/>
      <c r="Q164" s="1076"/>
      <c r="R164" s="293"/>
      <c r="S164" s="1074" t="s">
        <v>288</v>
      </c>
      <c r="T164" s="1075"/>
      <c r="U164" s="1075"/>
      <c r="V164" s="1076"/>
      <c r="W164" s="293"/>
      <c r="X164" s="939"/>
      <c r="Y164" s="939"/>
      <c r="Z164" s="939"/>
      <c r="AA164" s="939"/>
      <c r="AB164" s="256"/>
    </row>
    <row r="165" spans="1:29" s="284" customFormat="1" ht="13.5" customHeight="1">
      <c r="A165" s="472"/>
      <c r="B165" s="1073"/>
      <c r="C165" s="282"/>
      <c r="D165" s="986" t="s">
        <v>401</v>
      </c>
      <c r="E165" s="986"/>
      <c r="F165" s="987"/>
      <c r="G165" s="987"/>
      <c r="H165" s="347"/>
      <c r="I165" s="986" t="s">
        <v>928</v>
      </c>
      <c r="J165" s="986"/>
      <c r="K165" s="987"/>
      <c r="L165" s="987"/>
      <c r="M165" s="347"/>
      <c r="N165" s="1077" t="s">
        <v>929</v>
      </c>
      <c r="O165" s="1078"/>
      <c r="P165" s="1078"/>
      <c r="Q165" s="1079"/>
      <c r="R165" s="347"/>
      <c r="S165" s="1080" t="s">
        <v>402</v>
      </c>
      <c r="T165" s="1081"/>
      <c r="U165" s="1081"/>
      <c r="V165" s="1082"/>
      <c r="W165" s="347"/>
      <c r="X165" s="1091"/>
      <c r="Y165" s="1091"/>
      <c r="Z165" s="1091"/>
      <c r="AA165" s="1091"/>
      <c r="AB165" s="414"/>
      <c r="AC165" s="421"/>
    </row>
    <row r="166" spans="1:29" s="284" customFormat="1" ht="13.5" customHeight="1" thickBot="1">
      <c r="A166" s="472"/>
      <c r="B166" s="1073"/>
      <c r="C166" s="282"/>
      <c r="D166" s="816" t="s">
        <v>596</v>
      </c>
      <c r="E166" s="817"/>
      <c r="F166" s="982"/>
      <c r="G166" s="983"/>
      <c r="H166" s="301"/>
      <c r="I166" s="816" t="s">
        <v>855</v>
      </c>
      <c r="J166" s="817"/>
      <c r="K166" s="982"/>
      <c r="L166" s="983"/>
      <c r="M166" s="301"/>
      <c r="N166" s="816" t="s">
        <v>856</v>
      </c>
      <c r="O166" s="817"/>
      <c r="P166" s="982"/>
      <c r="Q166" s="983"/>
      <c r="R166" s="301"/>
      <c r="S166" s="816" t="s">
        <v>597</v>
      </c>
      <c r="T166" s="817"/>
      <c r="U166" s="982"/>
      <c r="V166" s="983"/>
      <c r="W166" s="301"/>
      <c r="X166" s="1091"/>
      <c r="Y166" s="1091"/>
      <c r="Z166" s="1091"/>
      <c r="AA166" s="1091"/>
      <c r="AB166" s="285"/>
      <c r="AC166" s="421"/>
    </row>
    <row r="167" spans="1:29" s="199" customFormat="1" ht="16.149999999999999" customHeight="1" thickBot="1">
      <c r="A167" s="471"/>
      <c r="B167" s="1073"/>
      <c r="C167" s="264"/>
      <c r="D167" s="1007">
        <v>1.53</v>
      </c>
      <c r="E167" s="969"/>
      <c r="F167" s="832">
        <v>0</v>
      </c>
      <c r="G167" s="961"/>
      <c r="H167" s="293"/>
      <c r="I167" s="1007">
        <v>1.98</v>
      </c>
      <c r="J167" s="969"/>
      <c r="K167" s="832">
        <v>0</v>
      </c>
      <c r="L167" s="961"/>
      <c r="M167" s="293"/>
      <c r="N167" s="1097">
        <v>2.41</v>
      </c>
      <c r="O167" s="1098"/>
      <c r="P167" s="832">
        <v>0</v>
      </c>
      <c r="Q167" s="961"/>
      <c r="R167" s="293"/>
      <c r="S167" s="1097">
        <v>2.06</v>
      </c>
      <c r="T167" s="1098"/>
      <c r="U167" s="832">
        <v>0</v>
      </c>
      <c r="V167" s="961"/>
      <c r="W167" s="293"/>
      <c r="X167" s="915"/>
      <c r="Y167" s="915"/>
      <c r="Z167" s="894"/>
      <c r="AA167" s="894"/>
      <c r="AB167" s="256"/>
      <c r="AC167" s="420"/>
    </row>
    <row r="168" spans="1:29" ht="27" customHeight="1" thickBot="1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>
      <c r="A169" s="465"/>
      <c r="B169" s="269"/>
      <c r="C169" s="269"/>
      <c r="D169" s="920" t="s">
        <v>556</v>
      </c>
      <c r="E169" s="920"/>
      <c r="F169" s="920"/>
      <c r="G169" s="920"/>
      <c r="H169" s="920"/>
      <c r="I169" s="920"/>
      <c r="J169" s="920"/>
      <c r="K169" s="920"/>
      <c r="L169" s="920"/>
      <c r="M169" s="920"/>
      <c r="N169" s="920"/>
      <c r="O169" s="920"/>
      <c r="P169" s="920"/>
      <c r="Q169" s="920"/>
      <c r="R169" s="920"/>
      <c r="S169" s="920"/>
      <c r="T169" s="920"/>
      <c r="U169" s="920"/>
      <c r="V169" s="920"/>
      <c r="W169" s="920"/>
      <c r="X169" s="920"/>
      <c r="Y169" s="920"/>
      <c r="Z169" s="920"/>
      <c r="AA169" s="920"/>
      <c r="AB169" s="269"/>
      <c r="AC169" s="416"/>
    </row>
    <row r="170" spans="1:29" s="190" customFormat="1" ht="27" customHeight="1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>
      <c r="A171" s="464"/>
      <c r="B171" s="254"/>
      <c r="C171" s="254"/>
      <c r="D171" s="802"/>
      <c r="E171" s="803"/>
      <c r="F171" s="803"/>
      <c r="G171" s="804"/>
      <c r="H171" s="293"/>
      <c r="I171" s="802"/>
      <c r="J171" s="803"/>
      <c r="K171" s="803"/>
      <c r="L171" s="804"/>
      <c r="M171" s="293"/>
      <c r="N171" s="802"/>
      <c r="O171" s="803"/>
      <c r="P171" s="803"/>
      <c r="Q171" s="804"/>
      <c r="R171" s="293"/>
      <c r="S171" s="802"/>
      <c r="T171" s="803"/>
      <c r="U171" s="803"/>
      <c r="V171" s="804"/>
      <c r="W171" s="293"/>
      <c r="X171" s="802"/>
      <c r="Y171" s="803"/>
      <c r="Z171" s="803"/>
      <c r="AA171" s="804"/>
      <c r="AB171" s="254"/>
    </row>
    <row r="172" spans="1:29" ht="12" customHeight="1">
      <c r="A172" s="464"/>
      <c r="B172" s="254"/>
      <c r="C172" s="254"/>
      <c r="D172" s="796"/>
      <c r="E172" s="797"/>
      <c r="F172" s="797"/>
      <c r="G172" s="798"/>
      <c r="H172" s="293"/>
      <c r="I172" s="796"/>
      <c r="J172" s="797"/>
      <c r="K172" s="797"/>
      <c r="L172" s="798"/>
      <c r="M172" s="293"/>
      <c r="N172" s="796"/>
      <c r="O172" s="797"/>
      <c r="P172" s="797"/>
      <c r="Q172" s="798"/>
      <c r="R172" s="293"/>
      <c r="S172" s="796"/>
      <c r="T172" s="797"/>
      <c r="U172" s="797"/>
      <c r="V172" s="798"/>
      <c r="W172" s="293"/>
      <c r="X172" s="796"/>
      <c r="Y172" s="797"/>
      <c r="Z172" s="797"/>
      <c r="AA172" s="798"/>
      <c r="AB172" s="254"/>
    </row>
    <row r="173" spans="1:29" ht="13.5" customHeight="1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>
      <c r="A174" s="464"/>
      <c r="B174" s="254"/>
      <c r="C174" s="254"/>
      <c r="D174" s="796"/>
      <c r="E174" s="797"/>
      <c r="F174" s="797"/>
      <c r="G174" s="798"/>
      <c r="H174" s="293"/>
      <c r="I174" s="796"/>
      <c r="J174" s="797"/>
      <c r="K174" s="797"/>
      <c r="L174" s="798"/>
      <c r="M174" s="293"/>
      <c r="N174" s="796"/>
      <c r="O174" s="797"/>
      <c r="P174" s="797"/>
      <c r="Q174" s="798"/>
      <c r="R174" s="293"/>
      <c r="S174" s="796"/>
      <c r="T174" s="797"/>
      <c r="U174" s="797"/>
      <c r="V174" s="798"/>
      <c r="W174" s="293"/>
      <c r="X174" s="796"/>
      <c r="Y174" s="797"/>
      <c r="Z174" s="797"/>
      <c r="AA174" s="798"/>
      <c r="AB174" s="254"/>
    </row>
    <row r="175" spans="1:29" ht="13.5" customHeight="1">
      <c r="A175" s="464"/>
      <c r="B175" s="254"/>
      <c r="C175" s="254"/>
      <c r="D175" s="796"/>
      <c r="E175" s="797"/>
      <c r="F175" s="797"/>
      <c r="G175" s="798"/>
      <c r="H175" s="293"/>
      <c r="I175" s="796"/>
      <c r="J175" s="797"/>
      <c r="K175" s="797"/>
      <c r="L175" s="798"/>
      <c r="M175" s="293"/>
      <c r="N175" s="796"/>
      <c r="O175" s="797"/>
      <c r="P175" s="797"/>
      <c r="Q175" s="798"/>
      <c r="R175" s="293"/>
      <c r="S175" s="796"/>
      <c r="T175" s="797"/>
      <c r="U175" s="797"/>
      <c r="V175" s="798"/>
      <c r="W175" s="293"/>
      <c r="X175" s="796"/>
      <c r="Y175" s="797"/>
      <c r="Z175" s="797"/>
      <c r="AA175" s="798"/>
      <c r="AB175" s="254"/>
    </row>
    <row r="176" spans="1:29" ht="13.5" customHeight="1">
      <c r="A176" s="464"/>
      <c r="B176" s="254"/>
      <c r="C176" s="254"/>
      <c r="D176" s="796"/>
      <c r="E176" s="797"/>
      <c r="F176" s="797"/>
      <c r="G176" s="798"/>
      <c r="H176" s="293"/>
      <c r="I176" s="796"/>
      <c r="J176" s="797"/>
      <c r="K176" s="797"/>
      <c r="L176" s="798"/>
      <c r="M176" s="293"/>
      <c r="N176" s="796"/>
      <c r="O176" s="797"/>
      <c r="P176" s="797"/>
      <c r="Q176" s="798"/>
      <c r="R176" s="293"/>
      <c r="S176" s="796"/>
      <c r="T176" s="797"/>
      <c r="U176" s="797"/>
      <c r="V176" s="798"/>
      <c r="W176" s="293"/>
      <c r="X176" s="796"/>
      <c r="Y176" s="797"/>
      <c r="Z176" s="797"/>
      <c r="AA176" s="798"/>
      <c r="AB176" s="254"/>
    </row>
    <row r="177" spans="1:29" ht="13.5" customHeight="1">
      <c r="A177" s="464"/>
      <c r="B177" s="254"/>
      <c r="C177" s="254"/>
      <c r="D177" s="979" t="s">
        <v>294</v>
      </c>
      <c r="E177" s="980"/>
      <c r="F177" s="980"/>
      <c r="G177" s="981"/>
      <c r="H177" s="293"/>
      <c r="I177" s="979" t="s">
        <v>295</v>
      </c>
      <c r="J177" s="980"/>
      <c r="K177" s="980"/>
      <c r="L177" s="981"/>
      <c r="M177" s="293"/>
      <c r="N177" s="979" t="s">
        <v>296</v>
      </c>
      <c r="O177" s="980"/>
      <c r="P177" s="980"/>
      <c r="Q177" s="981"/>
      <c r="R177" s="293"/>
      <c r="S177" s="979" t="s">
        <v>297</v>
      </c>
      <c r="T177" s="980"/>
      <c r="U177" s="980"/>
      <c r="V177" s="981"/>
      <c r="W177" s="293"/>
      <c r="X177" s="979" t="s">
        <v>298</v>
      </c>
      <c r="Y177" s="980"/>
      <c r="Z177" s="980"/>
      <c r="AA177" s="981"/>
      <c r="AB177" s="254"/>
    </row>
    <row r="178" spans="1:29" ht="16.149999999999999" customHeight="1">
      <c r="A178" s="464"/>
      <c r="B178" s="256"/>
      <c r="C178" s="256"/>
      <c r="D178" s="974">
        <v>0.66</v>
      </c>
      <c r="E178" s="975"/>
      <c r="F178" s="892">
        <v>0</v>
      </c>
      <c r="G178" s="893"/>
      <c r="H178" s="293"/>
      <c r="I178" s="974">
        <v>1.08</v>
      </c>
      <c r="J178" s="975"/>
      <c r="K178" s="892">
        <v>0</v>
      </c>
      <c r="L178" s="893"/>
      <c r="M178" s="293"/>
      <c r="N178" s="974">
        <v>1.1399999999999999</v>
      </c>
      <c r="O178" s="975"/>
      <c r="P178" s="892">
        <v>0</v>
      </c>
      <c r="Q178" s="893"/>
      <c r="R178" s="293"/>
      <c r="S178" s="974">
        <v>1.02</v>
      </c>
      <c r="T178" s="975"/>
      <c r="U178" s="892">
        <v>0</v>
      </c>
      <c r="V178" s="893"/>
      <c r="W178" s="293"/>
      <c r="X178" s="974">
        <v>0.62</v>
      </c>
      <c r="Y178" s="975"/>
      <c r="Z178" s="892">
        <v>0</v>
      </c>
      <c r="AA178" s="893"/>
      <c r="AB178" s="256"/>
    </row>
    <row r="179" spans="1:29" s="488" customFormat="1" ht="16.149999999999999" customHeight="1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>
      <c r="A181" s="469"/>
      <c r="B181" s="254"/>
      <c r="C181" s="254"/>
      <c r="D181" s="779"/>
      <c r="E181" s="780"/>
      <c r="F181" s="780"/>
      <c r="G181" s="781"/>
      <c r="H181" s="293"/>
      <c r="I181" s="779"/>
      <c r="J181" s="780"/>
      <c r="K181" s="780"/>
      <c r="L181" s="781"/>
      <c r="M181" s="293"/>
      <c r="N181" s="779"/>
      <c r="O181" s="780"/>
      <c r="P181" s="780"/>
      <c r="Q181" s="781"/>
      <c r="R181" s="293"/>
      <c r="S181" s="779"/>
      <c r="T181" s="780"/>
      <c r="U181" s="780"/>
      <c r="V181" s="781"/>
      <c r="W181" s="293"/>
      <c r="X181" s="779"/>
      <c r="Y181" s="780"/>
      <c r="Z181" s="780"/>
      <c r="AA181" s="781"/>
      <c r="AB181" s="254"/>
      <c r="AC181" s="418"/>
    </row>
    <row r="182" spans="1:29" ht="13.5" customHeight="1">
      <c r="A182" s="464"/>
      <c r="B182" s="254"/>
      <c r="C182" s="254"/>
      <c r="D182" s="776"/>
      <c r="E182" s="777"/>
      <c r="F182" s="777"/>
      <c r="G182" s="778"/>
      <c r="H182" s="293"/>
      <c r="I182" s="776"/>
      <c r="J182" s="777"/>
      <c r="K182" s="777"/>
      <c r="L182" s="778"/>
      <c r="M182" s="293"/>
      <c r="N182" s="776"/>
      <c r="O182" s="777"/>
      <c r="P182" s="777"/>
      <c r="Q182" s="778"/>
      <c r="R182" s="293"/>
      <c r="S182" s="776"/>
      <c r="T182" s="777"/>
      <c r="U182" s="777"/>
      <c r="V182" s="778"/>
      <c r="W182" s="293"/>
      <c r="X182" s="810"/>
      <c r="Y182" s="811"/>
      <c r="Z182" s="811"/>
      <c r="AA182" s="812"/>
      <c r="AB182" s="254"/>
    </row>
    <row r="183" spans="1:29" s="188" customFormat="1" ht="13.5" customHeight="1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10"/>
      <c r="Y183" s="811"/>
      <c r="Z183" s="811"/>
      <c r="AA183" s="812"/>
      <c r="AB183" s="254"/>
      <c r="AC183" s="206"/>
    </row>
    <row r="184" spans="1:29" ht="14.25">
      <c r="A184" s="464"/>
      <c r="B184" s="254"/>
      <c r="C184" s="254"/>
      <c r="D184" s="776"/>
      <c r="E184" s="777"/>
      <c r="F184" s="777"/>
      <c r="G184" s="778"/>
      <c r="H184" s="293"/>
      <c r="I184" s="776"/>
      <c r="J184" s="777"/>
      <c r="K184" s="777"/>
      <c r="L184" s="778"/>
      <c r="M184" s="293"/>
      <c r="N184" s="776"/>
      <c r="O184" s="777"/>
      <c r="P184" s="777"/>
      <c r="Q184" s="778"/>
      <c r="R184" s="293"/>
      <c r="S184" s="776"/>
      <c r="T184" s="777"/>
      <c r="U184" s="777"/>
      <c r="V184" s="778"/>
      <c r="W184" s="293"/>
      <c r="X184" s="810"/>
      <c r="Y184" s="811"/>
      <c r="Z184" s="811"/>
      <c r="AA184" s="812"/>
      <c r="AB184" s="254"/>
    </row>
    <row r="185" spans="1:29" ht="14.25">
      <c r="A185" s="464"/>
      <c r="B185" s="254"/>
      <c r="C185" s="254"/>
      <c r="D185" s="776"/>
      <c r="E185" s="777"/>
      <c r="F185" s="777"/>
      <c r="G185" s="778"/>
      <c r="H185" s="293"/>
      <c r="I185" s="776"/>
      <c r="J185" s="777"/>
      <c r="K185" s="777"/>
      <c r="L185" s="778"/>
      <c r="M185" s="293"/>
      <c r="N185" s="776"/>
      <c r="O185" s="777"/>
      <c r="P185" s="777"/>
      <c r="Q185" s="778"/>
      <c r="R185" s="293"/>
      <c r="S185" s="776"/>
      <c r="T185" s="777"/>
      <c r="U185" s="777"/>
      <c r="V185" s="778"/>
      <c r="W185" s="293"/>
      <c r="X185" s="810"/>
      <c r="Y185" s="811"/>
      <c r="Z185" s="811"/>
      <c r="AA185" s="812"/>
      <c r="AB185" s="254"/>
    </row>
    <row r="186" spans="1:29" ht="14.25">
      <c r="A186" s="464"/>
      <c r="B186" s="254"/>
      <c r="C186" s="254"/>
      <c r="D186" s="776"/>
      <c r="E186" s="777"/>
      <c r="F186" s="777"/>
      <c r="G186" s="778"/>
      <c r="H186" s="293"/>
      <c r="I186" s="776"/>
      <c r="J186" s="777"/>
      <c r="K186" s="777"/>
      <c r="L186" s="778"/>
      <c r="M186" s="293"/>
      <c r="N186" s="776"/>
      <c r="O186" s="777"/>
      <c r="P186" s="777"/>
      <c r="Q186" s="778"/>
      <c r="R186" s="293"/>
      <c r="S186" s="776"/>
      <c r="T186" s="777"/>
      <c r="U186" s="777"/>
      <c r="V186" s="778"/>
      <c r="W186" s="293"/>
      <c r="X186" s="810"/>
      <c r="Y186" s="811"/>
      <c r="Z186" s="811"/>
      <c r="AA186" s="812"/>
      <c r="AB186" s="254"/>
    </row>
    <row r="187" spans="1:29" ht="15">
      <c r="A187" s="464"/>
      <c r="B187" s="254"/>
      <c r="C187" s="254"/>
      <c r="D187" s="979" t="s">
        <v>299</v>
      </c>
      <c r="E187" s="980"/>
      <c r="F187" s="980"/>
      <c r="G187" s="981"/>
      <c r="H187" s="293"/>
      <c r="I187" s="979" t="s">
        <v>532</v>
      </c>
      <c r="J187" s="980"/>
      <c r="K187" s="980"/>
      <c r="L187" s="981"/>
      <c r="M187" s="293"/>
      <c r="N187" s="979" t="s">
        <v>300</v>
      </c>
      <c r="O187" s="980"/>
      <c r="P187" s="980"/>
      <c r="Q187" s="981"/>
      <c r="R187" s="293"/>
      <c r="S187" s="1103" t="s">
        <v>533</v>
      </c>
      <c r="T187" s="1104"/>
      <c r="U187" s="1104"/>
      <c r="V187" s="1105"/>
      <c r="W187" s="293"/>
      <c r="X187" s="1103" t="s">
        <v>554</v>
      </c>
      <c r="Y187" s="1104"/>
      <c r="Z187" s="1104"/>
      <c r="AA187" s="1105"/>
      <c r="AB187" s="254"/>
    </row>
    <row r="188" spans="1:29" ht="16.149999999999999" customHeight="1">
      <c r="A188" s="464"/>
      <c r="B188" s="254"/>
      <c r="C188" s="254"/>
      <c r="D188" s="974">
        <v>0.62</v>
      </c>
      <c r="E188" s="975"/>
      <c r="F188" s="892">
        <v>0</v>
      </c>
      <c r="G188" s="893"/>
      <c r="H188" s="293"/>
      <c r="I188" s="974">
        <v>0.8</v>
      </c>
      <c r="J188" s="975"/>
      <c r="K188" s="892">
        <v>0</v>
      </c>
      <c r="L188" s="893"/>
      <c r="M188" s="293"/>
      <c r="N188" s="974">
        <v>0.66</v>
      </c>
      <c r="O188" s="975"/>
      <c r="P188" s="892">
        <v>0</v>
      </c>
      <c r="Q188" s="893"/>
      <c r="R188" s="293"/>
      <c r="S188" s="974">
        <v>0.9</v>
      </c>
      <c r="T188" s="975"/>
      <c r="U188" s="892">
        <v>0</v>
      </c>
      <c r="V188" s="893"/>
      <c r="W188" s="293"/>
      <c r="X188" s="974">
        <v>1.05</v>
      </c>
      <c r="Y188" s="975"/>
      <c r="Z188" s="892">
        <v>0</v>
      </c>
      <c r="AA188" s="893"/>
      <c r="AB188" s="254"/>
    </row>
    <row r="189" spans="1:29" s="488" customFormat="1" ht="16.149999999999999" customHeight="1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>
      <c r="A191" s="464"/>
      <c r="B191" s="254"/>
      <c r="C191" s="254"/>
      <c r="D191" s="779"/>
      <c r="E191" s="780"/>
      <c r="F191" s="780"/>
      <c r="G191" s="781"/>
      <c r="H191" s="293"/>
      <c r="I191" s="779"/>
      <c r="J191" s="780"/>
      <c r="K191" s="780"/>
      <c r="L191" s="781"/>
      <c r="M191" s="293"/>
      <c r="N191" s="779"/>
      <c r="O191" s="780"/>
      <c r="P191" s="780"/>
      <c r="Q191" s="781"/>
      <c r="R191" s="293"/>
      <c r="S191" s="779"/>
      <c r="T191" s="780"/>
      <c r="U191" s="780"/>
      <c r="V191" s="781"/>
      <c r="W191" s="293"/>
      <c r="X191" s="779"/>
      <c r="Y191" s="780"/>
      <c r="Z191" s="780"/>
      <c r="AA191" s="781"/>
      <c r="AB191" s="254"/>
    </row>
    <row r="192" spans="1:29" ht="13.5" customHeight="1">
      <c r="A192" s="464"/>
      <c r="B192" s="254"/>
      <c r="C192" s="254"/>
      <c r="D192" s="810"/>
      <c r="E192" s="811"/>
      <c r="F192" s="811"/>
      <c r="G192" s="812"/>
      <c r="H192" s="293"/>
      <c r="I192" s="776"/>
      <c r="J192" s="777"/>
      <c r="K192" s="777"/>
      <c r="L192" s="778"/>
      <c r="M192" s="293"/>
      <c r="N192" s="776"/>
      <c r="O192" s="777"/>
      <c r="P192" s="777"/>
      <c r="Q192" s="778"/>
      <c r="R192" s="293"/>
      <c r="S192" s="776"/>
      <c r="T192" s="777"/>
      <c r="U192" s="777"/>
      <c r="V192" s="778"/>
      <c r="W192" s="293"/>
      <c r="X192" s="776"/>
      <c r="Y192" s="777"/>
      <c r="Z192" s="777"/>
      <c r="AA192" s="778"/>
      <c r="AB192" s="254"/>
    </row>
    <row r="193" spans="1:29" ht="13.5" customHeight="1">
      <c r="A193" s="464"/>
      <c r="B193" s="254"/>
      <c r="C193" s="254"/>
      <c r="D193" s="810"/>
      <c r="E193" s="811"/>
      <c r="F193" s="811"/>
      <c r="G193" s="812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>
      <c r="A194" s="464"/>
      <c r="B194" s="254"/>
      <c r="C194" s="254"/>
      <c r="D194" s="810"/>
      <c r="E194" s="811"/>
      <c r="F194" s="811"/>
      <c r="G194" s="812"/>
      <c r="H194" s="293"/>
      <c r="I194" s="776"/>
      <c r="J194" s="777"/>
      <c r="K194" s="777"/>
      <c r="L194" s="778"/>
      <c r="M194" s="293"/>
      <c r="N194" s="776"/>
      <c r="O194" s="777"/>
      <c r="P194" s="777"/>
      <c r="Q194" s="778"/>
      <c r="R194" s="293"/>
      <c r="S194" s="776"/>
      <c r="T194" s="777"/>
      <c r="U194" s="777"/>
      <c r="V194" s="778"/>
      <c r="W194" s="293"/>
      <c r="X194" s="776"/>
      <c r="Y194" s="777"/>
      <c r="Z194" s="777"/>
      <c r="AA194" s="778"/>
      <c r="AB194" s="254"/>
    </row>
    <row r="195" spans="1:29" ht="13.5" customHeight="1">
      <c r="A195" s="464"/>
      <c r="B195" s="254"/>
      <c r="C195" s="254"/>
      <c r="D195" s="810"/>
      <c r="E195" s="811"/>
      <c r="F195" s="811"/>
      <c r="G195" s="812"/>
      <c r="H195" s="293"/>
      <c r="I195" s="776"/>
      <c r="J195" s="777"/>
      <c r="K195" s="777"/>
      <c r="L195" s="778"/>
      <c r="M195" s="293"/>
      <c r="N195" s="776"/>
      <c r="O195" s="777"/>
      <c r="P195" s="777"/>
      <c r="Q195" s="778"/>
      <c r="R195" s="293"/>
      <c r="S195" s="776"/>
      <c r="T195" s="777"/>
      <c r="U195" s="777"/>
      <c r="V195" s="778"/>
      <c r="W195" s="293"/>
      <c r="X195" s="776"/>
      <c r="Y195" s="777"/>
      <c r="Z195" s="777"/>
      <c r="AA195" s="778"/>
      <c r="AB195" s="254"/>
    </row>
    <row r="196" spans="1:29" ht="13.5" customHeight="1">
      <c r="A196" s="464"/>
      <c r="B196" s="254"/>
      <c r="C196" s="254"/>
      <c r="D196" s="810"/>
      <c r="E196" s="811"/>
      <c r="F196" s="811"/>
      <c r="G196" s="812"/>
      <c r="H196" s="293"/>
      <c r="I196" s="776"/>
      <c r="J196" s="777"/>
      <c r="K196" s="777"/>
      <c r="L196" s="778"/>
      <c r="M196" s="293"/>
      <c r="N196" s="776"/>
      <c r="O196" s="777"/>
      <c r="P196" s="777"/>
      <c r="Q196" s="778"/>
      <c r="R196" s="293"/>
      <c r="S196" s="776"/>
      <c r="T196" s="777"/>
      <c r="U196" s="777"/>
      <c r="V196" s="778"/>
      <c r="W196" s="293"/>
      <c r="X196" s="776"/>
      <c r="Y196" s="777"/>
      <c r="Z196" s="777"/>
      <c r="AA196" s="778"/>
      <c r="AB196" s="254"/>
    </row>
    <row r="197" spans="1:29" ht="13.5" customHeight="1">
      <c r="A197" s="464"/>
      <c r="B197" s="254"/>
      <c r="C197" s="254"/>
      <c r="D197" s="979" t="s">
        <v>530</v>
      </c>
      <c r="E197" s="980"/>
      <c r="F197" s="980"/>
      <c r="G197" s="981"/>
      <c r="H197" s="293"/>
      <c r="I197" s="1103" t="s">
        <v>444</v>
      </c>
      <c r="J197" s="1104"/>
      <c r="K197" s="1104"/>
      <c r="L197" s="1105"/>
      <c r="M197" s="293"/>
      <c r="N197" s="1103" t="s">
        <v>301</v>
      </c>
      <c r="O197" s="1104"/>
      <c r="P197" s="1104"/>
      <c r="Q197" s="1105"/>
      <c r="R197" s="293"/>
      <c r="S197" s="1103" t="s">
        <v>531</v>
      </c>
      <c r="T197" s="1104"/>
      <c r="U197" s="1104"/>
      <c r="V197" s="1105"/>
      <c r="W197" s="293"/>
      <c r="X197" s="1103" t="s">
        <v>445</v>
      </c>
      <c r="Y197" s="1104"/>
      <c r="Z197" s="1104"/>
      <c r="AA197" s="1105"/>
      <c r="AB197" s="254"/>
    </row>
    <row r="198" spans="1:29" ht="15.95" customHeight="1">
      <c r="A198" s="464"/>
      <c r="B198" s="254"/>
      <c r="C198" s="254"/>
      <c r="D198" s="974">
        <v>1.05</v>
      </c>
      <c r="E198" s="975"/>
      <c r="F198" s="892">
        <v>0</v>
      </c>
      <c r="G198" s="893"/>
      <c r="H198" s="293"/>
      <c r="I198" s="974">
        <v>0.88</v>
      </c>
      <c r="J198" s="975"/>
      <c r="K198" s="892">
        <v>0</v>
      </c>
      <c r="L198" s="893"/>
      <c r="M198" s="293"/>
      <c r="N198" s="974">
        <v>0.83</v>
      </c>
      <c r="O198" s="975"/>
      <c r="P198" s="892">
        <v>0</v>
      </c>
      <c r="Q198" s="893"/>
      <c r="R198" s="293"/>
      <c r="S198" s="974">
        <v>1.02</v>
      </c>
      <c r="T198" s="975"/>
      <c r="U198" s="892">
        <v>0</v>
      </c>
      <c r="V198" s="893"/>
      <c r="W198" s="293"/>
      <c r="X198" s="974">
        <v>0.9</v>
      </c>
      <c r="Y198" s="975"/>
      <c r="Z198" s="892">
        <v>0</v>
      </c>
      <c r="AA198" s="893"/>
      <c r="AB198" s="254"/>
    </row>
    <row r="199" spans="1:29" s="488" customFormat="1" ht="16.149999999999999" customHeight="1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>
      <c r="A201" s="464"/>
      <c r="B201" s="254"/>
      <c r="C201" s="254"/>
      <c r="D201" s="779"/>
      <c r="E201" s="780"/>
      <c r="F201" s="780"/>
      <c r="G201" s="781"/>
      <c r="H201" s="293"/>
      <c r="I201" s="779"/>
      <c r="J201" s="780"/>
      <c r="K201" s="780"/>
      <c r="L201" s="781"/>
      <c r="M201" s="293"/>
      <c r="N201" s="779"/>
      <c r="O201" s="780"/>
      <c r="P201" s="780"/>
      <c r="Q201" s="781"/>
      <c r="R201" s="293"/>
      <c r="S201" s="779"/>
      <c r="T201" s="780"/>
      <c r="U201" s="780"/>
      <c r="V201" s="781"/>
      <c r="W201" s="293"/>
      <c r="X201" s="779"/>
      <c r="Y201" s="780"/>
      <c r="Z201" s="780"/>
      <c r="AA201" s="781"/>
      <c r="AB201" s="254"/>
    </row>
    <row r="202" spans="1:29" ht="13.5" customHeight="1">
      <c r="A202" s="464"/>
      <c r="B202" s="254"/>
      <c r="C202" s="254"/>
      <c r="D202" s="810"/>
      <c r="E202" s="811"/>
      <c r="F202" s="811"/>
      <c r="G202" s="812"/>
      <c r="H202" s="293"/>
      <c r="I202" s="776"/>
      <c r="J202" s="777"/>
      <c r="K202" s="777"/>
      <c r="L202" s="778"/>
      <c r="M202" s="293"/>
      <c r="N202" s="776"/>
      <c r="O202" s="777"/>
      <c r="P202" s="777"/>
      <c r="Q202" s="778"/>
      <c r="R202" s="293"/>
      <c r="S202" s="776"/>
      <c r="T202" s="777"/>
      <c r="U202" s="777"/>
      <c r="V202" s="778"/>
      <c r="W202" s="293"/>
      <c r="X202" s="776"/>
      <c r="Y202" s="777"/>
      <c r="Z202" s="777"/>
      <c r="AA202" s="778"/>
      <c r="AB202" s="254"/>
    </row>
    <row r="203" spans="1:29" ht="13.5" customHeight="1">
      <c r="A203" s="464"/>
      <c r="B203" s="254"/>
      <c r="C203" s="254"/>
      <c r="D203" s="810"/>
      <c r="E203" s="811"/>
      <c r="F203" s="811"/>
      <c r="G203" s="812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>
      <c r="A204" s="464"/>
      <c r="B204" s="254"/>
      <c r="C204" s="254"/>
      <c r="D204" s="810"/>
      <c r="E204" s="811"/>
      <c r="F204" s="811"/>
      <c r="G204" s="812"/>
      <c r="H204" s="293"/>
      <c r="I204" s="776"/>
      <c r="J204" s="777"/>
      <c r="K204" s="777"/>
      <c r="L204" s="778"/>
      <c r="M204" s="293"/>
      <c r="N204" s="776"/>
      <c r="O204" s="777"/>
      <c r="P204" s="777"/>
      <c r="Q204" s="778"/>
      <c r="R204" s="293"/>
      <c r="S204" s="776"/>
      <c r="T204" s="777"/>
      <c r="U204" s="777"/>
      <c r="V204" s="778"/>
      <c r="W204" s="293"/>
      <c r="X204" s="776"/>
      <c r="Y204" s="777"/>
      <c r="Z204" s="777"/>
      <c r="AA204" s="778"/>
      <c r="AB204" s="254"/>
    </row>
    <row r="205" spans="1:29" ht="13.5" customHeight="1">
      <c r="A205" s="464"/>
      <c r="B205" s="254"/>
      <c r="C205" s="254"/>
      <c r="D205" s="810"/>
      <c r="E205" s="811"/>
      <c r="F205" s="811"/>
      <c r="G205" s="812"/>
      <c r="H205" s="293"/>
      <c r="I205" s="776"/>
      <c r="J205" s="777"/>
      <c r="K205" s="777"/>
      <c r="L205" s="778"/>
      <c r="M205" s="293"/>
      <c r="N205" s="776"/>
      <c r="O205" s="777"/>
      <c r="P205" s="777"/>
      <c r="Q205" s="778"/>
      <c r="R205" s="293"/>
      <c r="S205" s="776"/>
      <c r="T205" s="777"/>
      <c r="U205" s="777"/>
      <c r="V205" s="778"/>
      <c r="W205" s="293"/>
      <c r="X205" s="776"/>
      <c r="Y205" s="777"/>
      <c r="Z205" s="777"/>
      <c r="AA205" s="778"/>
      <c r="AB205" s="254"/>
    </row>
    <row r="206" spans="1:29" ht="13.5" customHeight="1">
      <c r="A206" s="464"/>
      <c r="B206" s="254"/>
      <c r="C206" s="254"/>
      <c r="D206" s="810"/>
      <c r="E206" s="811"/>
      <c r="F206" s="811"/>
      <c r="G206" s="812"/>
      <c r="H206" s="293"/>
      <c r="I206" s="776"/>
      <c r="J206" s="777"/>
      <c r="K206" s="777"/>
      <c r="L206" s="778"/>
      <c r="M206" s="293"/>
      <c r="N206" s="776"/>
      <c r="O206" s="777"/>
      <c r="P206" s="777"/>
      <c r="Q206" s="778"/>
      <c r="R206" s="293"/>
      <c r="S206" s="776"/>
      <c r="T206" s="777"/>
      <c r="U206" s="777"/>
      <c r="V206" s="778"/>
      <c r="W206" s="293"/>
      <c r="X206" s="776"/>
      <c r="Y206" s="777"/>
      <c r="Z206" s="777"/>
      <c r="AA206" s="778"/>
      <c r="AB206" s="254"/>
    </row>
    <row r="207" spans="1:29" ht="13.5" customHeight="1">
      <c r="A207" s="464"/>
      <c r="B207" s="254"/>
      <c r="C207" s="254"/>
      <c r="D207" s="979" t="s">
        <v>446</v>
      </c>
      <c r="E207" s="980"/>
      <c r="F207" s="980"/>
      <c r="G207" s="981"/>
      <c r="H207" s="293"/>
      <c r="I207" s="979" t="s">
        <v>447</v>
      </c>
      <c r="J207" s="980"/>
      <c r="K207" s="980"/>
      <c r="L207" s="981"/>
      <c r="M207" s="293"/>
      <c r="N207" s="979" t="s">
        <v>448</v>
      </c>
      <c r="O207" s="980"/>
      <c r="P207" s="980"/>
      <c r="Q207" s="981"/>
      <c r="R207" s="293"/>
      <c r="S207" s="979" t="s">
        <v>857</v>
      </c>
      <c r="T207" s="980"/>
      <c r="U207" s="980"/>
      <c r="V207" s="981"/>
      <c r="W207" s="293"/>
      <c r="X207" s="979" t="s">
        <v>858</v>
      </c>
      <c r="Y207" s="980"/>
      <c r="Z207" s="980"/>
      <c r="AA207" s="981"/>
      <c r="AB207" s="254"/>
    </row>
    <row r="208" spans="1:29" ht="15.95" customHeight="1">
      <c r="A208" s="464"/>
      <c r="B208" s="254"/>
      <c r="C208" s="254"/>
      <c r="D208" s="974">
        <v>0.85</v>
      </c>
      <c r="E208" s="975"/>
      <c r="F208" s="892">
        <v>0</v>
      </c>
      <c r="G208" s="893"/>
      <c r="H208" s="293"/>
      <c r="I208" s="1111">
        <v>0.81</v>
      </c>
      <c r="J208" s="1112"/>
      <c r="K208" s="1109">
        <v>0</v>
      </c>
      <c r="L208" s="1110"/>
      <c r="M208" s="293"/>
      <c r="N208" s="1111">
        <v>0.81</v>
      </c>
      <c r="O208" s="1112"/>
      <c r="P208" s="1109">
        <v>0</v>
      </c>
      <c r="Q208" s="1110"/>
      <c r="R208" s="293"/>
      <c r="S208" s="1111">
        <v>1</v>
      </c>
      <c r="T208" s="1112"/>
      <c r="U208" s="1109">
        <v>0</v>
      </c>
      <c r="V208" s="1110"/>
      <c r="W208" s="293"/>
      <c r="X208" s="1111">
        <v>1.1499999999999999</v>
      </c>
      <c r="Y208" s="1112"/>
      <c r="Z208" s="1109">
        <v>0</v>
      </c>
      <c r="AA208" s="1110"/>
      <c r="AB208" s="254"/>
    </row>
    <row r="209" spans="1:29" s="488" customFormat="1" ht="16.149999999999999" customHeight="1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>
      <c r="A211" s="484"/>
      <c r="B211" s="485"/>
      <c r="C211" s="485"/>
      <c r="D211" s="779"/>
      <c r="E211" s="780"/>
      <c r="F211" s="780"/>
      <c r="G211" s="781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>
      <c r="A212" s="484"/>
      <c r="B212" s="485"/>
      <c r="C212" s="485"/>
      <c r="D212" s="776"/>
      <c r="E212" s="777"/>
      <c r="F212" s="777"/>
      <c r="G212" s="778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>
      <c r="A214" s="484"/>
      <c r="B214" s="485"/>
      <c r="C214" s="485"/>
      <c r="D214" s="776"/>
      <c r="E214" s="777"/>
      <c r="F214" s="777"/>
      <c r="G214" s="778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>
      <c r="A215" s="484"/>
      <c r="B215" s="485"/>
      <c r="C215" s="485"/>
      <c r="D215" s="776"/>
      <c r="E215" s="777"/>
      <c r="F215" s="777"/>
      <c r="G215" s="778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>
      <c r="A216" s="484"/>
      <c r="B216" s="485"/>
      <c r="C216" s="485"/>
      <c r="D216" s="776"/>
      <c r="E216" s="777"/>
      <c r="F216" s="777"/>
      <c r="G216" s="778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>
      <c r="A217" s="484"/>
      <c r="B217" s="485"/>
      <c r="C217" s="485"/>
      <c r="D217" s="979" t="s">
        <v>302</v>
      </c>
      <c r="E217" s="980"/>
      <c r="F217" s="980"/>
      <c r="G217" s="981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>
      <c r="A218" s="484"/>
      <c r="B218" s="485"/>
      <c r="C218" s="485"/>
      <c r="D218" s="1111">
        <v>1.1599999999999999</v>
      </c>
      <c r="E218" s="1112"/>
      <c r="F218" s="1109">
        <v>0</v>
      </c>
      <c r="G218" s="1110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>
      <c r="A221" s="470"/>
      <c r="B221" s="402"/>
      <c r="C221" s="268"/>
      <c r="D221" s="920" t="s">
        <v>557</v>
      </c>
      <c r="E221" s="920"/>
      <c r="F221" s="920"/>
      <c r="G221" s="920"/>
      <c r="H221" s="920"/>
      <c r="I221" s="920"/>
      <c r="J221" s="920"/>
      <c r="K221" s="920"/>
      <c r="L221" s="920"/>
      <c r="M221" s="920"/>
      <c r="N221" s="920"/>
      <c r="O221" s="920"/>
      <c r="P221" s="920"/>
      <c r="Q221" s="920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402"/>
      <c r="AC221" s="419"/>
    </row>
    <row r="222" spans="1:29" ht="27" customHeight="1">
      <c r="A222" s="464"/>
      <c r="B222" s="254"/>
      <c r="C222" s="254"/>
      <c r="D222" s="1058" t="s">
        <v>277</v>
      </c>
      <c r="E222" s="1058"/>
      <c r="F222" s="1058"/>
      <c r="G222" s="1058"/>
      <c r="H222" s="1058"/>
      <c r="I222" s="1058"/>
      <c r="J222" s="1058"/>
      <c r="K222" s="1058"/>
      <c r="L222" s="1058"/>
      <c r="M222" s="1058"/>
      <c r="N222" s="1058"/>
      <c r="O222" s="1058"/>
      <c r="P222" s="1058"/>
      <c r="Q222" s="1058"/>
      <c r="R222" s="1058"/>
      <c r="S222" s="1058"/>
      <c r="T222" s="1058"/>
      <c r="U222" s="1058"/>
      <c r="V222" s="1058"/>
      <c r="W222" s="1058"/>
      <c r="X222" s="1058"/>
      <c r="Y222" s="1058"/>
      <c r="Z222" s="1058"/>
      <c r="AA222" s="1058"/>
      <c r="AB222" s="412"/>
    </row>
    <row r="223" spans="1:29" s="190" customFormat="1" ht="18">
      <c r="A223" s="465"/>
      <c r="B223" s="254"/>
      <c r="C223" s="254"/>
      <c r="D223" s="779"/>
      <c r="E223" s="780"/>
      <c r="F223" s="780"/>
      <c r="G223" s="781"/>
      <c r="H223" s="293"/>
      <c r="I223" s="779"/>
      <c r="J223" s="780"/>
      <c r="K223" s="780"/>
      <c r="L223" s="781"/>
      <c r="M223" s="293"/>
      <c r="N223" s="779"/>
      <c r="O223" s="780"/>
      <c r="P223" s="780"/>
      <c r="Q223" s="781"/>
      <c r="R223" s="293"/>
      <c r="S223" s="779"/>
      <c r="T223" s="780"/>
      <c r="U223" s="780"/>
      <c r="V223" s="781"/>
      <c r="W223" s="293"/>
      <c r="X223" s="779"/>
      <c r="Y223" s="780"/>
      <c r="Z223" s="780"/>
      <c r="AA223" s="781"/>
      <c r="AB223" s="254"/>
      <c r="AC223" s="416"/>
    </row>
    <row r="224" spans="1:29" s="188" customFormat="1" ht="13.5" customHeight="1">
      <c r="A224" s="254"/>
      <c r="B224" s="254"/>
      <c r="C224" s="254"/>
      <c r="D224" s="796"/>
      <c r="E224" s="797"/>
      <c r="F224" s="797"/>
      <c r="G224" s="798"/>
      <c r="H224" s="293"/>
      <c r="I224" s="796"/>
      <c r="J224" s="797"/>
      <c r="K224" s="797"/>
      <c r="L224" s="798"/>
      <c r="M224" s="293"/>
      <c r="N224" s="796"/>
      <c r="O224" s="797"/>
      <c r="P224" s="797"/>
      <c r="Q224" s="798"/>
      <c r="R224" s="293"/>
      <c r="S224" s="796"/>
      <c r="T224" s="797"/>
      <c r="U224" s="797"/>
      <c r="V224" s="798"/>
      <c r="W224" s="293"/>
      <c r="X224" s="796"/>
      <c r="Y224" s="797"/>
      <c r="Z224" s="797"/>
      <c r="AA224" s="798"/>
      <c r="AB224" s="254"/>
      <c r="AC224" s="206"/>
    </row>
    <row r="225" spans="1:29" ht="14.25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>
      <c r="A226" s="464"/>
      <c r="B226" s="254"/>
      <c r="C226" s="254"/>
      <c r="D226" s="796"/>
      <c r="E226" s="797"/>
      <c r="F226" s="797"/>
      <c r="G226" s="798"/>
      <c r="H226" s="293"/>
      <c r="I226" s="796"/>
      <c r="J226" s="797"/>
      <c r="K226" s="797"/>
      <c r="L226" s="798"/>
      <c r="M226" s="293"/>
      <c r="N226" s="796"/>
      <c r="O226" s="797"/>
      <c r="P226" s="797"/>
      <c r="Q226" s="798"/>
      <c r="R226" s="293"/>
      <c r="S226" s="796"/>
      <c r="T226" s="797"/>
      <c r="U226" s="797"/>
      <c r="V226" s="798"/>
      <c r="W226" s="293"/>
      <c r="X226" s="796"/>
      <c r="Y226" s="797"/>
      <c r="Z226" s="797"/>
      <c r="AA226" s="798"/>
      <c r="AB226" s="254"/>
    </row>
    <row r="227" spans="1:29" ht="14.25">
      <c r="A227" s="464"/>
      <c r="B227" s="254"/>
      <c r="C227" s="254"/>
      <c r="D227" s="796"/>
      <c r="E227" s="797"/>
      <c r="F227" s="797"/>
      <c r="G227" s="798"/>
      <c r="H227" s="293"/>
      <c r="I227" s="796"/>
      <c r="J227" s="797"/>
      <c r="K227" s="797"/>
      <c r="L227" s="798"/>
      <c r="M227" s="293"/>
      <c r="N227" s="796"/>
      <c r="O227" s="797"/>
      <c r="P227" s="797"/>
      <c r="Q227" s="798"/>
      <c r="R227" s="293"/>
      <c r="S227" s="796"/>
      <c r="T227" s="797"/>
      <c r="U227" s="797"/>
      <c r="V227" s="798"/>
      <c r="W227" s="293"/>
      <c r="X227" s="796"/>
      <c r="Y227" s="797"/>
      <c r="Z227" s="797"/>
      <c r="AA227" s="798"/>
      <c r="AB227" s="254"/>
    </row>
    <row r="228" spans="1:29" ht="14.25">
      <c r="A228" s="464"/>
      <c r="B228" s="254"/>
      <c r="C228" s="254"/>
      <c r="D228" s="799"/>
      <c r="E228" s="800"/>
      <c r="F228" s="800"/>
      <c r="G228" s="801"/>
      <c r="H228" s="293"/>
      <c r="I228" s="799"/>
      <c r="J228" s="800"/>
      <c r="K228" s="800"/>
      <c r="L228" s="801"/>
      <c r="M228" s="293"/>
      <c r="N228" s="799"/>
      <c r="O228" s="800"/>
      <c r="P228" s="800"/>
      <c r="Q228" s="801"/>
      <c r="R228" s="293"/>
      <c r="S228" s="799"/>
      <c r="T228" s="800"/>
      <c r="U228" s="800"/>
      <c r="V228" s="801"/>
      <c r="W228" s="293"/>
      <c r="X228" s="799"/>
      <c r="Y228" s="800"/>
      <c r="Z228" s="800"/>
      <c r="AA228" s="801"/>
      <c r="AB228" s="254"/>
    </row>
    <row r="229" spans="1:29" ht="15">
      <c r="A229" s="464"/>
      <c r="B229" s="254"/>
      <c r="C229" s="254"/>
      <c r="D229" s="826" t="s">
        <v>303</v>
      </c>
      <c r="E229" s="827"/>
      <c r="F229" s="827"/>
      <c r="G229" s="828"/>
      <c r="H229" s="293"/>
      <c r="I229" s="826" t="s">
        <v>304</v>
      </c>
      <c r="J229" s="827"/>
      <c r="K229" s="827"/>
      <c r="L229" s="828"/>
      <c r="M229" s="293"/>
      <c r="N229" s="826" t="s">
        <v>305</v>
      </c>
      <c r="O229" s="827"/>
      <c r="P229" s="827"/>
      <c r="Q229" s="828"/>
      <c r="R229" s="293"/>
      <c r="S229" s="826" t="s">
        <v>307</v>
      </c>
      <c r="T229" s="827"/>
      <c r="U229" s="827"/>
      <c r="V229" s="828"/>
      <c r="W229" s="293"/>
      <c r="X229" s="826" t="s">
        <v>308</v>
      </c>
      <c r="Y229" s="827"/>
      <c r="Z229" s="827"/>
      <c r="AA229" s="828"/>
      <c r="AB229" s="254"/>
    </row>
    <row r="230" spans="1:29" s="284" customFormat="1" ht="13.5" customHeight="1">
      <c r="A230" s="472"/>
      <c r="B230" s="286"/>
      <c r="C230" s="286"/>
      <c r="D230" s="987" t="s">
        <v>553</v>
      </c>
      <c r="E230" s="987"/>
      <c r="F230" s="987"/>
      <c r="G230" s="987"/>
      <c r="H230" s="347"/>
      <c r="I230" s="1086" t="s">
        <v>552</v>
      </c>
      <c r="J230" s="982"/>
      <c r="K230" s="982"/>
      <c r="L230" s="983"/>
      <c r="M230" s="347"/>
      <c r="N230" s="1106" t="s">
        <v>551</v>
      </c>
      <c r="O230" s="1107"/>
      <c r="P230" s="1107"/>
      <c r="Q230" s="1108"/>
      <c r="R230" s="347"/>
      <c r="S230" s="1086" t="s">
        <v>550</v>
      </c>
      <c r="T230" s="982"/>
      <c r="U230" s="982"/>
      <c r="V230" s="983"/>
      <c r="W230" s="347"/>
      <c r="X230" s="1086" t="s">
        <v>549</v>
      </c>
      <c r="Y230" s="982"/>
      <c r="Z230" s="982"/>
      <c r="AA230" s="983"/>
      <c r="AB230" s="286"/>
      <c r="AC230" s="421"/>
    </row>
    <row r="231" spans="1:29" s="284" customFormat="1" ht="13.5" customHeight="1">
      <c r="A231" s="472"/>
      <c r="B231" s="285"/>
      <c r="C231" s="285"/>
      <c r="D231" s="816" t="s">
        <v>577</v>
      </c>
      <c r="E231" s="817"/>
      <c r="F231" s="817"/>
      <c r="G231" s="818"/>
      <c r="H231" s="301"/>
      <c r="I231" s="816" t="s">
        <v>579</v>
      </c>
      <c r="J231" s="817"/>
      <c r="K231" s="817"/>
      <c r="L231" s="818"/>
      <c r="M231" s="301"/>
      <c r="N231" s="816" t="s">
        <v>580</v>
      </c>
      <c r="O231" s="817"/>
      <c r="P231" s="817"/>
      <c r="Q231" s="818"/>
      <c r="R231" s="301"/>
      <c r="S231" s="816" t="s">
        <v>581</v>
      </c>
      <c r="T231" s="817"/>
      <c r="U231" s="817"/>
      <c r="V231" s="818"/>
      <c r="W231" s="301"/>
      <c r="X231" s="816" t="s">
        <v>594</v>
      </c>
      <c r="Y231" s="817"/>
      <c r="Z231" s="817"/>
      <c r="AA231" s="818"/>
      <c r="AB231" s="285"/>
      <c r="AC231" s="421"/>
    </row>
    <row r="232" spans="1:29" s="200" customFormat="1" ht="16.149999999999999" customHeight="1" thickBot="1">
      <c r="A232" s="473"/>
      <c r="B232" s="254"/>
      <c r="C232" s="254"/>
      <c r="D232" s="898">
        <v>1.45</v>
      </c>
      <c r="E232" s="899"/>
      <c r="F232" s="962">
        <v>0</v>
      </c>
      <c r="G232" s="963"/>
      <c r="H232" s="293"/>
      <c r="I232" s="898">
        <v>2.48</v>
      </c>
      <c r="J232" s="899"/>
      <c r="K232" s="962">
        <v>0</v>
      </c>
      <c r="L232" s="963"/>
      <c r="M232" s="293"/>
      <c r="N232" s="898">
        <v>3.57</v>
      </c>
      <c r="O232" s="899"/>
      <c r="P232" s="962">
        <v>0</v>
      </c>
      <c r="Q232" s="963"/>
      <c r="R232" s="293"/>
      <c r="S232" s="898">
        <v>2.2999999999999998</v>
      </c>
      <c r="T232" s="899"/>
      <c r="U232" s="962">
        <v>0</v>
      </c>
      <c r="V232" s="963"/>
      <c r="W232" s="293"/>
      <c r="X232" s="898">
        <v>4.84</v>
      </c>
      <c r="Y232" s="899"/>
      <c r="Z232" s="962">
        <v>0</v>
      </c>
      <c r="AA232" s="963"/>
      <c r="AB232" s="254"/>
      <c r="AC232" s="422"/>
    </row>
    <row r="233" spans="1:29" s="199" customFormat="1" ht="10.15" customHeight="1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>
      <c r="A234" s="471"/>
      <c r="B234" s="254"/>
      <c r="C234" s="254"/>
      <c r="D234" s="802"/>
      <c r="E234" s="803"/>
      <c r="F234" s="803"/>
      <c r="G234" s="804"/>
      <c r="H234" s="293"/>
      <c r="I234" s="802"/>
      <c r="J234" s="803"/>
      <c r="K234" s="803"/>
      <c r="L234" s="804"/>
      <c r="M234" s="293"/>
      <c r="N234" s="802"/>
      <c r="O234" s="803"/>
      <c r="P234" s="803"/>
      <c r="Q234" s="804"/>
      <c r="R234" s="293"/>
      <c r="S234" s="802"/>
      <c r="T234" s="803"/>
      <c r="U234" s="803"/>
      <c r="V234" s="804"/>
      <c r="W234" s="293"/>
      <c r="X234" s="779"/>
      <c r="Y234" s="780"/>
      <c r="Z234" s="780"/>
      <c r="AA234" s="781"/>
      <c r="AB234" s="254"/>
      <c r="AC234" s="420"/>
    </row>
    <row r="235" spans="1:29" ht="14.25">
      <c r="A235" s="464"/>
      <c r="B235" s="254"/>
      <c r="C235" s="254"/>
      <c r="D235" s="796"/>
      <c r="E235" s="797"/>
      <c r="F235" s="797"/>
      <c r="G235" s="798"/>
      <c r="H235" s="293"/>
      <c r="I235" s="796"/>
      <c r="J235" s="797"/>
      <c r="K235" s="797"/>
      <c r="L235" s="798"/>
      <c r="M235" s="293"/>
      <c r="N235" s="796"/>
      <c r="O235" s="797"/>
      <c r="P235" s="797"/>
      <c r="Q235" s="798"/>
      <c r="R235" s="293"/>
      <c r="S235" s="796"/>
      <c r="T235" s="797"/>
      <c r="U235" s="797"/>
      <c r="V235" s="798"/>
      <c r="W235" s="293"/>
      <c r="X235" s="810"/>
      <c r="Y235" s="811"/>
      <c r="Z235" s="811"/>
      <c r="AA235" s="812"/>
      <c r="AB235" s="254"/>
    </row>
    <row r="236" spans="1:29" ht="14.25">
      <c r="A236" s="464"/>
      <c r="B236" s="254"/>
      <c r="C236" s="254"/>
      <c r="D236" s="796"/>
      <c r="E236" s="797"/>
      <c r="F236" s="797"/>
      <c r="G236" s="798"/>
      <c r="H236" s="293"/>
      <c r="I236" s="796"/>
      <c r="J236" s="797"/>
      <c r="K236" s="797"/>
      <c r="L236" s="798"/>
      <c r="M236" s="293"/>
      <c r="N236" s="796"/>
      <c r="O236" s="797"/>
      <c r="P236" s="797"/>
      <c r="Q236" s="798"/>
      <c r="R236" s="293"/>
      <c r="S236" s="796"/>
      <c r="T236" s="797"/>
      <c r="U236" s="797"/>
      <c r="V236" s="798"/>
      <c r="W236" s="293"/>
      <c r="X236" s="810"/>
      <c r="Y236" s="811"/>
      <c r="Z236" s="811"/>
      <c r="AA236" s="812"/>
      <c r="AB236" s="254"/>
    </row>
    <row r="237" spans="1:29" ht="14.25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10"/>
      <c r="Y237" s="811"/>
      <c r="Z237" s="811"/>
      <c r="AA237" s="812"/>
      <c r="AB237" s="254"/>
    </row>
    <row r="238" spans="1:29" ht="14.25">
      <c r="A238" s="464"/>
      <c r="B238" s="254"/>
      <c r="C238" s="254"/>
      <c r="D238" s="796"/>
      <c r="E238" s="797"/>
      <c r="F238" s="797"/>
      <c r="G238" s="798"/>
      <c r="H238" s="293"/>
      <c r="I238" s="796"/>
      <c r="J238" s="797"/>
      <c r="K238" s="797"/>
      <c r="L238" s="798"/>
      <c r="M238" s="293"/>
      <c r="N238" s="796"/>
      <c r="O238" s="797"/>
      <c r="P238" s="797"/>
      <c r="Q238" s="798"/>
      <c r="R238" s="293"/>
      <c r="S238" s="796"/>
      <c r="T238" s="797"/>
      <c r="U238" s="797"/>
      <c r="V238" s="798"/>
      <c r="W238" s="293"/>
      <c r="X238" s="810"/>
      <c r="Y238" s="811"/>
      <c r="Z238" s="811"/>
      <c r="AA238" s="812"/>
      <c r="AB238" s="254"/>
    </row>
    <row r="239" spans="1:29" ht="13.5" customHeight="1">
      <c r="A239" s="464"/>
      <c r="B239" s="254"/>
      <c r="C239" s="254"/>
      <c r="D239" s="799"/>
      <c r="E239" s="800"/>
      <c r="F239" s="800"/>
      <c r="G239" s="801"/>
      <c r="H239" s="293"/>
      <c r="I239" s="799"/>
      <c r="J239" s="800"/>
      <c r="K239" s="800"/>
      <c r="L239" s="801"/>
      <c r="M239" s="293"/>
      <c r="N239" s="799"/>
      <c r="O239" s="800"/>
      <c r="P239" s="800"/>
      <c r="Q239" s="801"/>
      <c r="R239" s="293"/>
      <c r="S239" s="799"/>
      <c r="T239" s="800"/>
      <c r="U239" s="800"/>
      <c r="V239" s="801"/>
      <c r="W239" s="293"/>
      <c r="X239" s="912"/>
      <c r="Y239" s="913"/>
      <c r="Z239" s="913"/>
      <c r="AA239" s="914"/>
      <c r="AB239" s="254"/>
    </row>
    <row r="240" spans="1:29" ht="15">
      <c r="A240" s="464"/>
      <c r="B240" s="254"/>
      <c r="C240" s="254"/>
      <c r="D240" s="826" t="s">
        <v>312</v>
      </c>
      <c r="E240" s="827"/>
      <c r="F240" s="827"/>
      <c r="G240" s="828"/>
      <c r="H240" s="293"/>
      <c r="I240" s="813" t="s">
        <v>546</v>
      </c>
      <c r="J240" s="814"/>
      <c r="K240" s="814"/>
      <c r="L240" s="815"/>
      <c r="M240" s="293"/>
      <c r="N240" s="826" t="s">
        <v>311</v>
      </c>
      <c r="O240" s="827"/>
      <c r="P240" s="827"/>
      <c r="Q240" s="828"/>
      <c r="R240" s="293"/>
      <c r="S240" s="813" t="s">
        <v>544</v>
      </c>
      <c r="T240" s="814"/>
      <c r="U240" s="814"/>
      <c r="V240" s="815"/>
      <c r="W240" s="293"/>
      <c r="X240" s="826" t="s">
        <v>536</v>
      </c>
      <c r="Y240" s="827"/>
      <c r="Z240" s="827"/>
      <c r="AA240" s="828"/>
      <c r="AB240" s="254"/>
    </row>
    <row r="241" spans="1:29" s="284" customFormat="1" ht="13.5" customHeight="1">
      <c r="A241" s="472"/>
      <c r="B241" s="283"/>
      <c r="C241" s="283"/>
      <c r="D241" s="1131" t="s">
        <v>548</v>
      </c>
      <c r="E241" s="1132"/>
      <c r="F241" s="1132"/>
      <c r="G241" s="1133"/>
      <c r="H241" s="347"/>
      <c r="I241" s="1131" t="s">
        <v>547</v>
      </c>
      <c r="J241" s="1132"/>
      <c r="K241" s="1132"/>
      <c r="L241" s="1133"/>
      <c r="M241" s="347"/>
      <c r="N241" s="1086" t="s">
        <v>287</v>
      </c>
      <c r="O241" s="982"/>
      <c r="P241" s="982"/>
      <c r="Q241" s="983"/>
      <c r="R241" s="347"/>
      <c r="S241" s="1086" t="s">
        <v>545</v>
      </c>
      <c r="T241" s="982"/>
      <c r="U241" s="982"/>
      <c r="V241" s="983"/>
      <c r="W241" s="347"/>
      <c r="X241" s="1080" t="s">
        <v>537</v>
      </c>
      <c r="Y241" s="1081"/>
      <c r="Z241" s="1081"/>
      <c r="AA241" s="1082"/>
      <c r="AB241" s="283"/>
      <c r="AC241" s="421"/>
    </row>
    <row r="242" spans="1:29" s="284" customFormat="1" ht="13.5" customHeight="1">
      <c r="A242" s="472"/>
      <c r="B242" s="285"/>
      <c r="C242" s="285"/>
      <c r="D242" s="816" t="s">
        <v>588</v>
      </c>
      <c r="E242" s="817"/>
      <c r="F242" s="817"/>
      <c r="G242" s="818"/>
      <c r="H242" s="301"/>
      <c r="I242" s="816" t="s">
        <v>589</v>
      </c>
      <c r="J242" s="817"/>
      <c r="K242" s="982"/>
      <c r="L242" s="983"/>
      <c r="M242" s="301"/>
      <c r="N242" s="816" t="s">
        <v>582</v>
      </c>
      <c r="O242" s="817"/>
      <c r="P242" s="817"/>
      <c r="Q242" s="818"/>
      <c r="R242" s="301"/>
      <c r="S242" s="816" t="s">
        <v>583</v>
      </c>
      <c r="T242" s="817"/>
      <c r="U242" s="817"/>
      <c r="V242" s="818"/>
      <c r="W242" s="301"/>
      <c r="X242" s="816" t="s">
        <v>584</v>
      </c>
      <c r="Y242" s="817"/>
      <c r="Z242" s="982"/>
      <c r="AA242" s="983"/>
      <c r="AB242" s="285"/>
      <c r="AC242" s="421"/>
    </row>
    <row r="243" spans="1:29" s="199" customFormat="1" ht="16.149999999999999" customHeight="1" thickBot="1">
      <c r="A243" s="471"/>
      <c r="B243" s="254"/>
      <c r="C243" s="254"/>
      <c r="D243" s="898">
        <v>2.74</v>
      </c>
      <c r="E243" s="899"/>
      <c r="F243" s="962">
        <v>0</v>
      </c>
      <c r="G243" s="963"/>
      <c r="H243" s="293"/>
      <c r="I243" s="898">
        <v>3.23</v>
      </c>
      <c r="J243" s="899"/>
      <c r="K243" s="962">
        <v>0</v>
      </c>
      <c r="L243" s="963"/>
      <c r="M243" s="293"/>
      <c r="N243" s="898">
        <v>1.45</v>
      </c>
      <c r="O243" s="899"/>
      <c r="P243" s="962">
        <v>0</v>
      </c>
      <c r="Q243" s="963"/>
      <c r="R243" s="293"/>
      <c r="S243" s="905">
        <v>1.93</v>
      </c>
      <c r="T243" s="1182"/>
      <c r="U243" s="964">
        <v>0</v>
      </c>
      <c r="V243" s="965"/>
      <c r="W243" s="293"/>
      <c r="X243" s="900">
        <v>2.23</v>
      </c>
      <c r="Y243" s="901"/>
      <c r="Z243" s="962">
        <v>0</v>
      </c>
      <c r="AA243" s="963"/>
      <c r="AB243" s="254"/>
      <c r="AC243" s="420"/>
    </row>
    <row r="244" spans="1:29" s="199" customFormat="1" ht="10.15" customHeight="1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>
      <c r="A245" s="471"/>
      <c r="B245" s="254"/>
      <c r="C245" s="254"/>
      <c r="D245" s="802"/>
      <c r="E245" s="803"/>
      <c r="F245" s="803"/>
      <c r="G245" s="804"/>
      <c r="H245" s="293"/>
      <c r="I245" s="802"/>
      <c r="J245" s="803"/>
      <c r="K245" s="803"/>
      <c r="L245" s="804"/>
      <c r="M245" s="293"/>
      <c r="N245" s="802"/>
      <c r="O245" s="803"/>
      <c r="P245" s="803"/>
      <c r="Q245" s="804"/>
      <c r="R245" s="293"/>
      <c r="S245" s="802"/>
      <c r="T245" s="803"/>
      <c r="U245" s="803"/>
      <c r="V245" s="804"/>
      <c r="W245" s="293"/>
      <c r="X245" s="779"/>
      <c r="Y245" s="780"/>
      <c r="Z245" s="780"/>
      <c r="AA245" s="781"/>
      <c r="AB245" s="254"/>
      <c r="AC245" s="420"/>
    </row>
    <row r="246" spans="1:29" s="199" customFormat="1" ht="13.5" customHeight="1">
      <c r="A246" s="471"/>
      <c r="B246" s="254"/>
      <c r="C246" s="254"/>
      <c r="D246" s="796"/>
      <c r="E246" s="797"/>
      <c r="F246" s="797"/>
      <c r="G246" s="798"/>
      <c r="H246" s="293"/>
      <c r="I246" s="796"/>
      <c r="J246" s="797"/>
      <c r="K246" s="797"/>
      <c r="L246" s="798"/>
      <c r="M246" s="293"/>
      <c r="N246" s="796"/>
      <c r="O246" s="797"/>
      <c r="P246" s="797"/>
      <c r="Q246" s="798"/>
      <c r="R246" s="293"/>
      <c r="S246" s="796"/>
      <c r="T246" s="797"/>
      <c r="U246" s="797"/>
      <c r="V246" s="798"/>
      <c r="W246" s="293"/>
      <c r="X246" s="776"/>
      <c r="Y246" s="777"/>
      <c r="Z246" s="777"/>
      <c r="AA246" s="778"/>
      <c r="AB246" s="254"/>
      <c r="AC246" s="420"/>
    </row>
    <row r="247" spans="1:29" s="199" customFormat="1" ht="13.5" customHeight="1">
      <c r="A247" s="471"/>
      <c r="B247" s="254"/>
      <c r="C247" s="254"/>
      <c r="D247" s="796"/>
      <c r="E247" s="797"/>
      <c r="F247" s="797"/>
      <c r="G247" s="798"/>
      <c r="H247" s="293"/>
      <c r="I247" s="796"/>
      <c r="J247" s="797"/>
      <c r="K247" s="797"/>
      <c r="L247" s="798"/>
      <c r="M247" s="293"/>
      <c r="N247" s="796"/>
      <c r="O247" s="797"/>
      <c r="P247" s="797"/>
      <c r="Q247" s="798"/>
      <c r="R247" s="293"/>
      <c r="S247" s="796"/>
      <c r="T247" s="797"/>
      <c r="U247" s="797"/>
      <c r="V247" s="798"/>
      <c r="W247" s="293"/>
      <c r="X247" s="776"/>
      <c r="Y247" s="777"/>
      <c r="Z247" s="777"/>
      <c r="AA247" s="778"/>
      <c r="AB247" s="254"/>
      <c r="AC247" s="420"/>
    </row>
    <row r="248" spans="1:29" s="199" customFormat="1" ht="13.5" customHeight="1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6"/>
      <c r="Y248" s="777"/>
      <c r="Z248" s="777"/>
      <c r="AA248" s="778"/>
      <c r="AB248" s="254"/>
      <c r="AC248" s="420"/>
    </row>
    <row r="249" spans="1:29" s="199" customFormat="1" ht="13.5" customHeight="1">
      <c r="A249" s="471"/>
      <c r="B249" s="254"/>
      <c r="C249" s="254"/>
      <c r="D249" s="796"/>
      <c r="E249" s="797"/>
      <c r="F249" s="797"/>
      <c r="G249" s="798"/>
      <c r="H249" s="293"/>
      <c r="I249" s="796"/>
      <c r="J249" s="797"/>
      <c r="K249" s="797"/>
      <c r="L249" s="798"/>
      <c r="M249" s="293"/>
      <c r="N249" s="796"/>
      <c r="O249" s="797"/>
      <c r="P249" s="797"/>
      <c r="Q249" s="798"/>
      <c r="R249" s="293"/>
      <c r="S249" s="796"/>
      <c r="T249" s="797"/>
      <c r="U249" s="797"/>
      <c r="V249" s="798"/>
      <c r="W249" s="293"/>
      <c r="X249" s="776"/>
      <c r="Y249" s="777"/>
      <c r="Z249" s="777"/>
      <c r="AA249" s="778"/>
      <c r="AB249" s="254"/>
      <c r="AC249" s="420"/>
    </row>
    <row r="250" spans="1:29" s="199" customFormat="1" ht="13.5" customHeight="1">
      <c r="A250" s="471"/>
      <c r="B250" s="254"/>
      <c r="C250" s="254"/>
      <c r="D250" s="799"/>
      <c r="E250" s="800"/>
      <c r="F250" s="800"/>
      <c r="G250" s="801"/>
      <c r="H250" s="293"/>
      <c r="I250" s="799"/>
      <c r="J250" s="800"/>
      <c r="K250" s="800"/>
      <c r="L250" s="801"/>
      <c r="M250" s="293"/>
      <c r="N250" s="799"/>
      <c r="O250" s="800"/>
      <c r="P250" s="800"/>
      <c r="Q250" s="801"/>
      <c r="R250" s="293"/>
      <c r="S250" s="799"/>
      <c r="T250" s="800"/>
      <c r="U250" s="800"/>
      <c r="V250" s="801"/>
      <c r="W250" s="293"/>
      <c r="X250" s="773"/>
      <c r="Y250" s="774"/>
      <c r="Z250" s="774"/>
      <c r="AA250" s="775"/>
      <c r="AB250" s="254"/>
      <c r="AC250" s="420"/>
    </row>
    <row r="251" spans="1:29" s="199" customFormat="1" ht="13.5" customHeight="1">
      <c r="A251" s="471"/>
      <c r="B251" s="254"/>
      <c r="C251" s="254"/>
      <c r="D251" s="826" t="s">
        <v>535</v>
      </c>
      <c r="E251" s="827"/>
      <c r="F251" s="827"/>
      <c r="G251" s="828"/>
      <c r="H251" s="293"/>
      <c r="I251" s="826" t="s">
        <v>449</v>
      </c>
      <c r="J251" s="827"/>
      <c r="K251" s="827"/>
      <c r="L251" s="828"/>
      <c r="M251" s="293"/>
      <c r="N251" s="813" t="s">
        <v>310</v>
      </c>
      <c r="O251" s="814"/>
      <c r="P251" s="814"/>
      <c r="Q251" s="815"/>
      <c r="R251" s="293"/>
      <c r="S251" s="813" t="s">
        <v>534</v>
      </c>
      <c r="T251" s="814"/>
      <c r="U251" s="814"/>
      <c r="V251" s="815"/>
      <c r="W251" s="293"/>
      <c r="X251" s="813" t="s">
        <v>457</v>
      </c>
      <c r="Y251" s="814"/>
      <c r="Z251" s="814"/>
      <c r="AA251" s="815"/>
      <c r="AB251" s="254"/>
      <c r="AC251" s="420"/>
    </row>
    <row r="252" spans="1:29" s="287" customFormat="1" ht="13.5" customHeight="1">
      <c r="A252" s="474"/>
      <c r="B252" s="260"/>
      <c r="C252" s="260"/>
      <c r="D252" s="782" t="s">
        <v>543</v>
      </c>
      <c r="E252" s="783"/>
      <c r="F252" s="783"/>
      <c r="G252" s="789"/>
      <c r="H252" s="346"/>
      <c r="I252" s="1179" t="s">
        <v>542</v>
      </c>
      <c r="J252" s="1179"/>
      <c r="K252" s="1180"/>
      <c r="L252" s="1180"/>
      <c r="M252" s="346"/>
      <c r="N252" s="816" t="s">
        <v>541</v>
      </c>
      <c r="O252" s="817"/>
      <c r="P252" s="817"/>
      <c r="Q252" s="818"/>
      <c r="R252" s="346"/>
      <c r="S252" s="1137" t="s">
        <v>540</v>
      </c>
      <c r="T252" s="1137"/>
      <c r="U252" s="1138"/>
      <c r="V252" s="1138"/>
      <c r="W252" s="347"/>
      <c r="X252" s="1077" t="s">
        <v>864</v>
      </c>
      <c r="Y252" s="1078"/>
      <c r="Z252" s="1078"/>
      <c r="AA252" s="1079"/>
      <c r="AB252" s="260"/>
      <c r="AC252" s="423"/>
    </row>
    <row r="253" spans="1:29" s="287" customFormat="1" ht="13.5" customHeight="1">
      <c r="A253" s="474"/>
      <c r="B253" s="260"/>
      <c r="C253" s="260"/>
      <c r="D253" s="816" t="s">
        <v>585</v>
      </c>
      <c r="E253" s="817"/>
      <c r="F253" s="982"/>
      <c r="G253" s="983"/>
      <c r="H253" s="346"/>
      <c r="I253" s="816" t="s">
        <v>586</v>
      </c>
      <c r="J253" s="817"/>
      <c r="K253" s="817"/>
      <c r="L253" s="818"/>
      <c r="M253" s="346"/>
      <c r="N253" s="816" t="s">
        <v>587</v>
      </c>
      <c r="O253" s="817"/>
      <c r="P253" s="817"/>
      <c r="Q253" s="818"/>
      <c r="R253" s="346"/>
      <c r="S253" s="816" t="s">
        <v>590</v>
      </c>
      <c r="T253" s="817"/>
      <c r="U253" s="982"/>
      <c r="V253" s="983"/>
      <c r="W253" s="301"/>
      <c r="X253" s="816" t="s">
        <v>591</v>
      </c>
      <c r="Y253" s="817"/>
      <c r="Z253" s="817"/>
      <c r="AA253" s="818"/>
      <c r="AB253" s="260"/>
      <c r="AC253" s="423"/>
    </row>
    <row r="254" spans="1:29" s="199" customFormat="1" ht="16.149999999999999" customHeight="1" thickBot="1">
      <c r="A254" s="471"/>
      <c r="B254" s="254"/>
      <c r="C254" s="254"/>
      <c r="D254" s="900">
        <v>2.23</v>
      </c>
      <c r="E254" s="901"/>
      <c r="F254" s="962">
        <v>0</v>
      </c>
      <c r="G254" s="963"/>
      <c r="H254" s="293"/>
      <c r="I254" s="898">
        <v>2.14</v>
      </c>
      <c r="J254" s="899"/>
      <c r="K254" s="962">
        <v>0</v>
      </c>
      <c r="L254" s="963"/>
      <c r="M254" s="293"/>
      <c r="N254" s="951">
        <v>1.79</v>
      </c>
      <c r="O254" s="952"/>
      <c r="P254" s="1188">
        <v>0</v>
      </c>
      <c r="Q254" s="1189"/>
      <c r="R254" s="293"/>
      <c r="S254" s="1183">
        <v>5.04</v>
      </c>
      <c r="T254" s="1184"/>
      <c r="U254" s="1188">
        <v>0</v>
      </c>
      <c r="V254" s="1189"/>
      <c r="W254" s="293"/>
      <c r="X254" s="951">
        <v>1.88</v>
      </c>
      <c r="Y254" s="952"/>
      <c r="Z254" s="1188">
        <v>0</v>
      </c>
      <c r="AA254" s="1189"/>
      <c r="AB254" s="254"/>
      <c r="AC254" s="420"/>
    </row>
    <row r="255" spans="1:29" s="199" customFormat="1" ht="10.15" customHeight="1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>
      <c r="A256" s="471"/>
      <c r="B256" s="254"/>
      <c r="C256" s="254"/>
      <c r="D256" s="802"/>
      <c r="E256" s="803"/>
      <c r="F256" s="803"/>
      <c r="G256" s="804"/>
      <c r="H256" s="293"/>
      <c r="I256" s="802"/>
      <c r="J256" s="803"/>
      <c r="K256" s="803"/>
      <c r="L256" s="804"/>
      <c r="M256" s="293"/>
      <c r="N256" s="802"/>
      <c r="O256" s="803"/>
      <c r="P256" s="803"/>
      <c r="Q256" s="804"/>
      <c r="R256" s="293"/>
      <c r="S256" s="802"/>
      <c r="T256" s="803"/>
      <c r="U256" s="803"/>
      <c r="V256" s="804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>
      <c r="A257" s="471"/>
      <c r="B257" s="254"/>
      <c r="C257" s="254"/>
      <c r="D257" s="796"/>
      <c r="E257" s="797"/>
      <c r="F257" s="797"/>
      <c r="G257" s="798"/>
      <c r="H257" s="293"/>
      <c r="I257" s="796"/>
      <c r="J257" s="797"/>
      <c r="K257" s="797"/>
      <c r="L257" s="798"/>
      <c r="M257" s="293"/>
      <c r="N257" s="796"/>
      <c r="O257" s="797"/>
      <c r="P257" s="797"/>
      <c r="Q257" s="798"/>
      <c r="R257" s="293"/>
      <c r="S257" s="796"/>
      <c r="T257" s="797"/>
      <c r="U257" s="797"/>
      <c r="V257" s="798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>
      <c r="A258" s="471"/>
      <c r="B258" s="254"/>
      <c r="C258" s="254"/>
      <c r="D258" s="796"/>
      <c r="E258" s="797"/>
      <c r="F258" s="797"/>
      <c r="G258" s="798"/>
      <c r="H258" s="293"/>
      <c r="I258" s="796"/>
      <c r="J258" s="797"/>
      <c r="K258" s="797"/>
      <c r="L258" s="798"/>
      <c r="M258" s="293"/>
      <c r="N258" s="796"/>
      <c r="O258" s="797"/>
      <c r="P258" s="797"/>
      <c r="Q258" s="798"/>
      <c r="R258" s="293"/>
      <c r="S258" s="796"/>
      <c r="T258" s="797"/>
      <c r="U258" s="797"/>
      <c r="V258" s="798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>
      <c r="A260" s="471"/>
      <c r="B260" s="254"/>
      <c r="C260" s="254"/>
      <c r="D260" s="796"/>
      <c r="E260" s="797"/>
      <c r="F260" s="797"/>
      <c r="G260" s="798"/>
      <c r="H260" s="293"/>
      <c r="I260" s="796"/>
      <c r="J260" s="797"/>
      <c r="K260" s="797"/>
      <c r="L260" s="798"/>
      <c r="M260" s="293"/>
      <c r="N260" s="796"/>
      <c r="O260" s="797"/>
      <c r="P260" s="797"/>
      <c r="Q260" s="798"/>
      <c r="R260" s="293"/>
      <c r="S260" s="796"/>
      <c r="T260" s="797"/>
      <c r="U260" s="797"/>
      <c r="V260" s="798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>
      <c r="A261" s="471"/>
      <c r="B261" s="254"/>
      <c r="C261" s="254"/>
      <c r="D261" s="799"/>
      <c r="E261" s="800"/>
      <c r="F261" s="800"/>
      <c r="G261" s="801"/>
      <c r="H261" s="293"/>
      <c r="I261" s="799"/>
      <c r="J261" s="800"/>
      <c r="K261" s="800"/>
      <c r="L261" s="801"/>
      <c r="M261" s="293"/>
      <c r="N261" s="799"/>
      <c r="O261" s="800"/>
      <c r="P261" s="800"/>
      <c r="Q261" s="801"/>
      <c r="R261" s="293"/>
      <c r="S261" s="799"/>
      <c r="T261" s="800"/>
      <c r="U261" s="800"/>
      <c r="V261" s="801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>
      <c r="A262" s="471"/>
      <c r="B262" s="254"/>
      <c r="C262" s="254"/>
      <c r="D262" s="826" t="s">
        <v>458</v>
      </c>
      <c r="E262" s="827"/>
      <c r="F262" s="827"/>
      <c r="G262" s="828"/>
      <c r="H262" s="293"/>
      <c r="I262" s="826" t="s">
        <v>862</v>
      </c>
      <c r="J262" s="827"/>
      <c r="K262" s="827"/>
      <c r="L262" s="828"/>
      <c r="M262" s="293"/>
      <c r="N262" s="813" t="s">
        <v>863</v>
      </c>
      <c r="O262" s="814"/>
      <c r="P262" s="814"/>
      <c r="Q262" s="815"/>
      <c r="R262" s="293"/>
      <c r="S262" s="813" t="s">
        <v>309</v>
      </c>
      <c r="T262" s="814"/>
      <c r="U262" s="814"/>
      <c r="V262" s="815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>
      <c r="A263" s="474"/>
      <c r="B263" s="260"/>
      <c r="C263" s="260"/>
      <c r="D263" s="986" t="s">
        <v>539</v>
      </c>
      <c r="E263" s="986"/>
      <c r="F263" s="987"/>
      <c r="G263" s="987"/>
      <c r="H263" s="346"/>
      <c r="I263" s="986" t="s">
        <v>928</v>
      </c>
      <c r="J263" s="986"/>
      <c r="K263" s="987"/>
      <c r="L263" s="987"/>
      <c r="M263" s="346"/>
      <c r="N263" s="1139" t="s">
        <v>929</v>
      </c>
      <c r="O263" s="1140"/>
      <c r="P263" s="1140"/>
      <c r="Q263" s="1141"/>
      <c r="R263" s="346"/>
      <c r="S263" s="816" t="s">
        <v>538</v>
      </c>
      <c r="T263" s="817"/>
      <c r="U263" s="817"/>
      <c r="V263" s="818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>
      <c r="A264" s="474"/>
      <c r="B264" s="260"/>
      <c r="C264" s="260"/>
      <c r="D264" s="816" t="s">
        <v>596</v>
      </c>
      <c r="E264" s="817"/>
      <c r="F264" s="817"/>
      <c r="G264" s="818"/>
      <c r="H264" s="346"/>
      <c r="I264" s="816" t="s">
        <v>855</v>
      </c>
      <c r="J264" s="817"/>
      <c r="K264" s="817"/>
      <c r="L264" s="818"/>
      <c r="M264" s="346"/>
      <c r="N264" s="816" t="s">
        <v>856</v>
      </c>
      <c r="O264" s="817"/>
      <c r="P264" s="817"/>
      <c r="Q264" s="818"/>
      <c r="R264" s="346"/>
      <c r="S264" s="816" t="s">
        <v>597</v>
      </c>
      <c r="T264" s="817"/>
      <c r="U264" s="817"/>
      <c r="V264" s="818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>
      <c r="A265" s="471"/>
      <c r="B265" s="254"/>
      <c r="C265" s="254"/>
      <c r="D265" s="898">
        <v>1.75</v>
      </c>
      <c r="E265" s="899"/>
      <c r="F265" s="962">
        <v>0</v>
      </c>
      <c r="G265" s="963"/>
      <c r="H265" s="293"/>
      <c r="I265" s="898">
        <v>2.38</v>
      </c>
      <c r="J265" s="899"/>
      <c r="K265" s="962">
        <v>0</v>
      </c>
      <c r="L265" s="963"/>
      <c r="M265" s="293"/>
      <c r="N265" s="898">
        <v>2.81</v>
      </c>
      <c r="O265" s="899"/>
      <c r="P265" s="962">
        <v>0</v>
      </c>
      <c r="Q265" s="963"/>
      <c r="R265" s="293"/>
      <c r="S265" s="898">
        <v>2.58</v>
      </c>
      <c r="T265" s="899"/>
      <c r="U265" s="962">
        <v>0</v>
      </c>
      <c r="V265" s="963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>
      <c r="A267" s="475"/>
      <c r="B267" s="432"/>
      <c r="C267" s="432"/>
      <c r="D267" s="1018" t="s">
        <v>8</v>
      </c>
      <c r="E267" s="1018"/>
      <c r="F267" s="1018"/>
      <c r="G267" s="1018"/>
      <c r="H267" s="1018"/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432"/>
      <c r="AC267" s="424"/>
    </row>
    <row r="268" spans="1:29" s="190" customFormat="1" ht="27" customHeight="1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>
      <c r="A269" s="464"/>
      <c r="B269" s="1113" t="s">
        <v>167</v>
      </c>
      <c r="C269" s="441"/>
      <c r="D269" s="777"/>
      <c r="E269" s="777"/>
      <c r="F269" s="777"/>
      <c r="G269" s="777"/>
      <c r="H269" s="353"/>
      <c r="I269" s="802"/>
      <c r="J269" s="803"/>
      <c r="K269" s="803"/>
      <c r="L269" s="803"/>
      <c r="M269" s="293"/>
      <c r="N269" s="802"/>
      <c r="O269" s="803"/>
      <c r="P269" s="803"/>
      <c r="Q269" s="803"/>
      <c r="R269" s="353"/>
      <c r="S269" s="797"/>
      <c r="T269" s="797"/>
      <c r="U269" s="797"/>
      <c r="V269" s="797"/>
      <c r="W269" s="343"/>
      <c r="X269" s="946"/>
      <c r="Y269" s="946"/>
      <c r="Z269" s="946"/>
      <c r="AA269" s="946"/>
      <c r="AB269" s="254"/>
    </row>
    <row r="270" spans="1:29" ht="14.25">
      <c r="A270" s="464"/>
      <c r="B270" s="1113"/>
      <c r="C270" s="441"/>
      <c r="D270" s="777"/>
      <c r="E270" s="777"/>
      <c r="F270" s="777"/>
      <c r="G270" s="777"/>
      <c r="H270" s="353"/>
      <c r="I270" s="796"/>
      <c r="J270" s="797"/>
      <c r="K270" s="797"/>
      <c r="L270" s="797"/>
      <c r="M270" s="293"/>
      <c r="N270" s="796"/>
      <c r="O270" s="797"/>
      <c r="P270" s="797"/>
      <c r="Q270" s="797"/>
      <c r="R270" s="353"/>
      <c r="S270" s="797"/>
      <c r="T270" s="797"/>
      <c r="U270" s="797"/>
      <c r="V270" s="797"/>
      <c r="W270" s="343"/>
      <c r="X270" s="946"/>
      <c r="Y270" s="946"/>
      <c r="Z270" s="946"/>
      <c r="AA270" s="946"/>
      <c r="AB270" s="254"/>
    </row>
    <row r="271" spans="1:29" ht="14.25">
      <c r="A271" s="464"/>
      <c r="B271" s="1113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>
      <c r="A272" s="464"/>
      <c r="B272" s="1113"/>
      <c r="C272" s="441"/>
      <c r="D272" s="777"/>
      <c r="E272" s="777"/>
      <c r="F272" s="777"/>
      <c r="G272" s="777"/>
      <c r="H272" s="353"/>
      <c r="I272" s="796"/>
      <c r="J272" s="797"/>
      <c r="K272" s="797"/>
      <c r="L272" s="797"/>
      <c r="M272" s="293"/>
      <c r="N272" s="796"/>
      <c r="O272" s="797"/>
      <c r="P272" s="797"/>
      <c r="Q272" s="797"/>
      <c r="R272" s="353"/>
      <c r="S272" s="797"/>
      <c r="T272" s="797"/>
      <c r="U272" s="797"/>
      <c r="V272" s="797"/>
      <c r="W272" s="343"/>
      <c r="X272" s="946"/>
      <c r="Y272" s="946"/>
      <c r="Z272" s="946"/>
      <c r="AA272" s="946"/>
      <c r="AB272" s="254"/>
    </row>
    <row r="273" spans="1:29" ht="14.25">
      <c r="A273" s="464"/>
      <c r="B273" s="1113"/>
      <c r="C273" s="441"/>
      <c r="D273" s="777"/>
      <c r="E273" s="777"/>
      <c r="F273" s="777"/>
      <c r="G273" s="777"/>
      <c r="H273" s="353"/>
      <c r="I273" s="796"/>
      <c r="J273" s="797"/>
      <c r="K273" s="797"/>
      <c r="L273" s="797"/>
      <c r="M273" s="293"/>
      <c r="N273" s="796"/>
      <c r="O273" s="797"/>
      <c r="P273" s="797"/>
      <c r="Q273" s="797"/>
      <c r="R273" s="353"/>
      <c r="S273" s="797"/>
      <c r="T273" s="797"/>
      <c r="U273" s="797"/>
      <c r="V273" s="797"/>
      <c r="W273" s="343"/>
      <c r="X273" s="946"/>
      <c r="Y273" s="946"/>
      <c r="Z273" s="946"/>
      <c r="AA273" s="946"/>
      <c r="AB273" s="254"/>
    </row>
    <row r="274" spans="1:29" ht="14.25">
      <c r="A274" s="464"/>
      <c r="B274" s="1113"/>
      <c r="C274" s="441"/>
      <c r="D274" s="773"/>
      <c r="E274" s="774"/>
      <c r="F274" s="774"/>
      <c r="G274" s="775"/>
      <c r="H274" s="353"/>
      <c r="I274" s="799"/>
      <c r="J274" s="800"/>
      <c r="K274" s="800"/>
      <c r="L274" s="800"/>
      <c r="M274" s="293"/>
      <c r="N274" s="799"/>
      <c r="O274" s="800"/>
      <c r="P274" s="800"/>
      <c r="Q274" s="800"/>
      <c r="R274" s="353"/>
      <c r="S274" s="797"/>
      <c r="T274" s="797"/>
      <c r="U274" s="797"/>
      <c r="V274" s="797"/>
      <c r="W274" s="343"/>
      <c r="X274" s="946"/>
      <c r="Y274" s="946"/>
      <c r="Z274" s="946"/>
      <c r="AA274" s="946"/>
      <c r="AB274" s="254"/>
    </row>
    <row r="275" spans="1:29" ht="15">
      <c r="A275" s="464"/>
      <c r="B275" s="1113"/>
      <c r="C275" s="278"/>
      <c r="D275" s="953" t="s">
        <v>230</v>
      </c>
      <c r="E275" s="954"/>
      <c r="F275" s="954"/>
      <c r="G275" s="955"/>
      <c r="H275" s="293"/>
      <c r="I275" s="786" t="s">
        <v>215</v>
      </c>
      <c r="J275" s="787"/>
      <c r="K275" s="787"/>
      <c r="L275" s="788"/>
      <c r="M275" s="293"/>
      <c r="N275" s="826" t="s">
        <v>438</v>
      </c>
      <c r="O275" s="827"/>
      <c r="P275" s="827"/>
      <c r="Q275" s="828"/>
      <c r="R275" s="293"/>
      <c r="S275" s="826" t="s">
        <v>218</v>
      </c>
      <c r="T275" s="827"/>
      <c r="U275" s="827"/>
      <c r="V275" s="828"/>
      <c r="W275" s="293"/>
      <c r="X275" s="947"/>
      <c r="Y275" s="947"/>
      <c r="Z275" s="947"/>
      <c r="AA275" s="947"/>
      <c r="AB275" s="254"/>
    </row>
    <row r="276" spans="1:29" s="201" customFormat="1" ht="27" customHeight="1" thickBot="1">
      <c r="A276" s="476"/>
      <c r="B276" s="1113"/>
      <c r="C276" s="278"/>
      <c r="D276" s="960" t="s">
        <v>598</v>
      </c>
      <c r="E276" s="830"/>
      <c r="F276" s="830"/>
      <c r="G276" s="831"/>
      <c r="H276" s="308"/>
      <c r="I276" s="960" t="s">
        <v>278</v>
      </c>
      <c r="J276" s="830"/>
      <c r="K276" s="830"/>
      <c r="L276" s="831"/>
      <c r="M276" s="308"/>
      <c r="N276" s="960" t="s">
        <v>439</v>
      </c>
      <c r="O276" s="830"/>
      <c r="P276" s="830"/>
      <c r="Q276" s="831"/>
      <c r="R276" s="308"/>
      <c r="S276" s="960" t="s">
        <v>599</v>
      </c>
      <c r="T276" s="830"/>
      <c r="U276" s="830"/>
      <c r="V276" s="831"/>
      <c r="W276" s="308"/>
      <c r="X276" s="948"/>
      <c r="Y276" s="948"/>
      <c r="Z276" s="948"/>
      <c r="AA276" s="948"/>
      <c r="AB276" s="259"/>
      <c r="AC276" s="425"/>
    </row>
    <row r="277" spans="1:29" ht="16.149999999999999" customHeight="1" thickBot="1">
      <c r="A277" s="464"/>
      <c r="B277" s="1113"/>
      <c r="C277" s="278"/>
      <c r="D277" s="1116">
        <v>0.11</v>
      </c>
      <c r="E277" s="969"/>
      <c r="F277" s="832">
        <f>21+13</f>
        <v>34</v>
      </c>
      <c r="G277" s="833"/>
      <c r="H277" s="353"/>
      <c r="I277" s="984">
        <v>1.1499999999999999</v>
      </c>
      <c r="J277" s="985"/>
      <c r="K277" s="1099">
        <v>0</v>
      </c>
      <c r="L277" s="1187"/>
      <c r="M277" s="353"/>
      <c r="N277" s="968">
        <v>1.1499999999999999</v>
      </c>
      <c r="O277" s="969"/>
      <c r="P277" s="832">
        <v>0</v>
      </c>
      <c r="Q277" s="833"/>
      <c r="R277" s="353"/>
      <c r="S277" s="968">
        <v>0.25</v>
      </c>
      <c r="T277" s="969"/>
      <c r="U277" s="832">
        <v>8</v>
      </c>
      <c r="V277" s="961"/>
      <c r="W277" s="343"/>
      <c r="X277" s="950"/>
      <c r="Y277" s="950"/>
      <c r="Z277" s="840"/>
      <c r="AA277" s="840"/>
      <c r="AB277" s="254"/>
    </row>
    <row r="278" spans="1:29" s="579" customFormat="1" ht="16.149999999999999" customHeight="1">
      <c r="A278" s="573"/>
      <c r="B278" s="1113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>
      <c r="A280" s="464"/>
      <c r="B280" s="1113" t="s">
        <v>279</v>
      </c>
      <c r="C280" s="278"/>
      <c r="D280" s="834"/>
      <c r="E280" s="797"/>
      <c r="F280" s="797"/>
      <c r="G280" s="797"/>
      <c r="H280" s="353"/>
      <c r="I280" s="797"/>
      <c r="J280" s="797"/>
      <c r="K280" s="797"/>
      <c r="L280" s="797"/>
      <c r="M280" s="353"/>
      <c r="N280" s="797"/>
      <c r="O280" s="797"/>
      <c r="P280" s="797"/>
      <c r="Q280" s="797"/>
      <c r="R280" s="353"/>
      <c r="S280" s="777"/>
      <c r="T280" s="777"/>
      <c r="U280" s="777"/>
      <c r="V280" s="777"/>
      <c r="W280" s="353"/>
      <c r="X280" s="777"/>
      <c r="Y280" s="777"/>
      <c r="Z280" s="777"/>
      <c r="AA280" s="777"/>
      <c r="AB280" s="483"/>
    </row>
    <row r="281" spans="1:29" ht="14.25">
      <c r="A281" s="464"/>
      <c r="B281" s="1113"/>
      <c r="C281" s="278"/>
      <c r="D281" s="834"/>
      <c r="E281" s="797"/>
      <c r="F281" s="797"/>
      <c r="G281" s="797"/>
      <c r="H281" s="353"/>
      <c r="I281" s="797"/>
      <c r="J281" s="797"/>
      <c r="K281" s="797"/>
      <c r="L281" s="797"/>
      <c r="M281" s="353"/>
      <c r="N281" s="797"/>
      <c r="O281" s="797"/>
      <c r="P281" s="797"/>
      <c r="Q281" s="797"/>
      <c r="R281" s="353"/>
      <c r="S281" s="811"/>
      <c r="T281" s="949"/>
      <c r="U281" s="949"/>
      <c r="V281" s="811"/>
      <c r="W281" s="353"/>
      <c r="X281" s="811"/>
      <c r="Y281" s="949"/>
      <c r="Z281" s="949"/>
      <c r="AA281" s="811"/>
      <c r="AB281" s="483"/>
    </row>
    <row r="282" spans="1:29" ht="14.25">
      <c r="A282" s="464"/>
      <c r="B282" s="1113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1"/>
      <c r="T282" s="949"/>
      <c r="U282" s="949"/>
      <c r="V282" s="811"/>
      <c r="W282" s="353"/>
      <c r="X282" s="811"/>
      <c r="Y282" s="949"/>
      <c r="Z282" s="949"/>
      <c r="AA282" s="811"/>
      <c r="AB282" s="483"/>
    </row>
    <row r="283" spans="1:29" ht="14.25">
      <c r="A283" s="464"/>
      <c r="B283" s="1113"/>
      <c r="C283" s="278"/>
      <c r="D283" s="834"/>
      <c r="E283" s="797"/>
      <c r="F283" s="797"/>
      <c r="G283" s="797"/>
      <c r="H283" s="353"/>
      <c r="I283" s="797"/>
      <c r="J283" s="797"/>
      <c r="K283" s="797"/>
      <c r="L283" s="797"/>
      <c r="M283" s="353"/>
      <c r="N283" s="797"/>
      <c r="O283" s="797"/>
      <c r="P283" s="797"/>
      <c r="Q283" s="797"/>
      <c r="R283" s="353"/>
      <c r="S283" s="811"/>
      <c r="T283" s="949"/>
      <c r="U283" s="949"/>
      <c r="V283" s="811"/>
      <c r="W283" s="353"/>
      <c r="X283" s="811"/>
      <c r="Y283" s="949"/>
      <c r="Z283" s="949"/>
      <c r="AA283" s="811"/>
      <c r="AB283" s="483"/>
    </row>
    <row r="284" spans="1:29" ht="14.25">
      <c r="A284" s="464"/>
      <c r="B284" s="1113"/>
      <c r="C284" s="278"/>
      <c r="D284" s="834"/>
      <c r="E284" s="797"/>
      <c r="F284" s="797"/>
      <c r="G284" s="797"/>
      <c r="H284" s="353"/>
      <c r="I284" s="797"/>
      <c r="J284" s="797"/>
      <c r="K284" s="797"/>
      <c r="L284" s="797"/>
      <c r="M284" s="353"/>
      <c r="N284" s="797"/>
      <c r="O284" s="797"/>
      <c r="P284" s="797"/>
      <c r="Q284" s="797"/>
      <c r="R284" s="353"/>
      <c r="S284" s="811"/>
      <c r="T284" s="949"/>
      <c r="U284" s="949"/>
      <c r="V284" s="811"/>
      <c r="W284" s="353"/>
      <c r="X284" s="811"/>
      <c r="Y284" s="949"/>
      <c r="Z284" s="949"/>
      <c r="AA284" s="811"/>
      <c r="AB284" s="483"/>
    </row>
    <row r="285" spans="1:29" ht="14.25">
      <c r="A285" s="464"/>
      <c r="B285" s="1113"/>
      <c r="C285" s="278"/>
      <c r="D285" s="834"/>
      <c r="E285" s="797"/>
      <c r="F285" s="797"/>
      <c r="G285" s="797"/>
      <c r="H285" s="353"/>
      <c r="I285" s="797"/>
      <c r="J285" s="797"/>
      <c r="K285" s="797"/>
      <c r="L285" s="797"/>
      <c r="M285" s="353"/>
      <c r="N285" s="797"/>
      <c r="O285" s="797"/>
      <c r="P285" s="797"/>
      <c r="Q285" s="797"/>
      <c r="R285" s="353"/>
      <c r="S285" s="811"/>
      <c r="T285" s="811"/>
      <c r="U285" s="811"/>
      <c r="V285" s="811"/>
      <c r="W285" s="353"/>
      <c r="X285" s="811"/>
      <c r="Y285" s="811"/>
      <c r="Z285" s="811"/>
      <c r="AA285" s="811"/>
      <c r="AB285" s="483"/>
    </row>
    <row r="286" spans="1:29" ht="15">
      <c r="A286" s="464"/>
      <c r="B286" s="1113"/>
      <c r="C286" s="278"/>
      <c r="D286" s="826" t="s">
        <v>216</v>
      </c>
      <c r="E286" s="827"/>
      <c r="F286" s="827"/>
      <c r="G286" s="828"/>
      <c r="H286" s="293"/>
      <c r="I286" s="826" t="s">
        <v>217</v>
      </c>
      <c r="J286" s="827"/>
      <c r="K286" s="827"/>
      <c r="L286" s="828"/>
      <c r="M286" s="293"/>
      <c r="N286" s="826" t="s">
        <v>180</v>
      </c>
      <c r="O286" s="827"/>
      <c r="P286" s="827"/>
      <c r="Q286" s="828"/>
      <c r="R286" s="293"/>
      <c r="S286" s="826" t="s">
        <v>441</v>
      </c>
      <c r="T286" s="827"/>
      <c r="U286" s="827"/>
      <c r="V286" s="828"/>
      <c r="W286" s="293"/>
      <c r="X286" s="826" t="s">
        <v>453</v>
      </c>
      <c r="Y286" s="827"/>
      <c r="Z286" s="827"/>
      <c r="AA286" s="828"/>
      <c r="AB286" s="254"/>
    </row>
    <row r="287" spans="1:29" s="201" customFormat="1" ht="27" customHeight="1" thickBot="1">
      <c r="A287" s="476"/>
      <c r="B287" s="1113"/>
      <c r="C287" s="278"/>
      <c r="D287" s="829" t="s">
        <v>600</v>
      </c>
      <c r="E287" s="830"/>
      <c r="F287" s="830"/>
      <c r="G287" s="831"/>
      <c r="H287" s="308"/>
      <c r="I287" s="960" t="s">
        <v>601</v>
      </c>
      <c r="J287" s="830"/>
      <c r="K287" s="830"/>
      <c r="L287" s="831"/>
      <c r="M287" s="308"/>
      <c r="N287" s="960" t="s">
        <v>280</v>
      </c>
      <c r="O287" s="830"/>
      <c r="P287" s="830"/>
      <c r="Q287" s="831"/>
      <c r="R287" s="308"/>
      <c r="S287" s="960" t="s">
        <v>440</v>
      </c>
      <c r="T287" s="830"/>
      <c r="U287" s="830"/>
      <c r="V287" s="831"/>
      <c r="W287" s="308"/>
      <c r="X287" s="960" t="s">
        <v>454</v>
      </c>
      <c r="Y287" s="830"/>
      <c r="Z287" s="830"/>
      <c r="AA287" s="831"/>
      <c r="AB287" s="259"/>
      <c r="AC287" s="425"/>
    </row>
    <row r="288" spans="1:29" ht="16.149999999999999" customHeight="1" thickBot="1">
      <c r="A288" s="464"/>
      <c r="B288" s="1113"/>
      <c r="C288" s="278"/>
      <c r="D288" s="1114">
        <v>2.25</v>
      </c>
      <c r="E288" s="1115"/>
      <c r="F288" s="832">
        <v>4</v>
      </c>
      <c r="G288" s="833"/>
      <c r="H288" s="353"/>
      <c r="I288" s="966">
        <v>2.25</v>
      </c>
      <c r="J288" s="967"/>
      <c r="K288" s="832">
        <v>4</v>
      </c>
      <c r="L288" s="833"/>
      <c r="M288" s="353"/>
      <c r="N288" s="966">
        <v>0.45</v>
      </c>
      <c r="O288" s="967"/>
      <c r="P288" s="832">
        <v>0</v>
      </c>
      <c r="Q288" s="833"/>
      <c r="R288" s="353"/>
      <c r="S288" s="968">
        <v>4</v>
      </c>
      <c r="T288" s="969"/>
      <c r="U288" s="832">
        <v>0</v>
      </c>
      <c r="V288" s="833"/>
      <c r="W288" s="353"/>
      <c r="X288" s="968">
        <v>4</v>
      </c>
      <c r="Y288" s="969"/>
      <c r="Z288" s="832">
        <v>0</v>
      </c>
      <c r="AA288" s="961"/>
      <c r="AB288" s="254"/>
    </row>
    <row r="289" spans="1:29" s="579" customFormat="1" ht="16.149999999999999" customHeight="1">
      <c r="A289" s="573"/>
      <c r="B289" s="1113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>
      <c r="A291" s="464"/>
      <c r="B291" s="1113" t="s">
        <v>181</v>
      </c>
      <c r="C291" s="278"/>
      <c r="D291" s="802"/>
      <c r="E291" s="803"/>
      <c r="F291" s="803"/>
      <c r="G291" s="804"/>
      <c r="H291" s="293"/>
      <c r="I291" s="779"/>
      <c r="J291" s="780"/>
      <c r="K291" s="780"/>
      <c r="L291" s="781"/>
      <c r="M291" s="293"/>
      <c r="N291" s="779"/>
      <c r="O291" s="780"/>
      <c r="P291" s="780"/>
      <c r="Q291" s="781"/>
      <c r="R291" s="293"/>
      <c r="S291" s="779"/>
      <c r="T291" s="780"/>
      <c r="U291" s="780"/>
      <c r="V291" s="781"/>
      <c r="W291" s="293"/>
      <c r="X291" s="846"/>
      <c r="Y291" s="846"/>
      <c r="Z291" s="846"/>
      <c r="AA291" s="846"/>
      <c r="AB291" s="254"/>
    </row>
    <row r="292" spans="1:29" ht="14.25">
      <c r="A292" s="464"/>
      <c r="B292" s="1113"/>
      <c r="C292" s="278"/>
      <c r="D292" s="796"/>
      <c r="E292" s="797"/>
      <c r="F292" s="797"/>
      <c r="G292" s="798"/>
      <c r="H292" s="293"/>
      <c r="I292" s="796"/>
      <c r="J292" s="797"/>
      <c r="K292" s="797"/>
      <c r="L292" s="798"/>
      <c r="M292" s="293"/>
      <c r="N292" s="796"/>
      <c r="O292" s="797"/>
      <c r="P292" s="797"/>
      <c r="Q292" s="798"/>
      <c r="R292" s="293"/>
      <c r="S292" s="796"/>
      <c r="T292" s="797"/>
      <c r="U292" s="797"/>
      <c r="V292" s="798"/>
      <c r="W292" s="293"/>
      <c r="X292" s="846"/>
      <c r="Y292" s="846"/>
      <c r="Z292" s="846"/>
      <c r="AA292" s="846"/>
      <c r="AB292" s="254"/>
    </row>
    <row r="293" spans="1:29" ht="14.25">
      <c r="A293" s="464"/>
      <c r="B293" s="1113"/>
      <c r="C293" s="278"/>
      <c r="D293" s="796"/>
      <c r="E293" s="797"/>
      <c r="F293" s="797"/>
      <c r="G293" s="798"/>
      <c r="H293" s="293"/>
      <c r="I293" s="796"/>
      <c r="J293" s="797"/>
      <c r="K293" s="797"/>
      <c r="L293" s="798"/>
      <c r="M293" s="293"/>
      <c r="N293" s="796"/>
      <c r="O293" s="797"/>
      <c r="P293" s="797"/>
      <c r="Q293" s="798"/>
      <c r="R293" s="293"/>
      <c r="S293" s="796"/>
      <c r="T293" s="797"/>
      <c r="U293" s="797"/>
      <c r="V293" s="798"/>
      <c r="W293" s="293"/>
      <c r="X293" s="846"/>
      <c r="Y293" s="846"/>
      <c r="Z293" s="846"/>
      <c r="AA293" s="846"/>
      <c r="AB293" s="254"/>
    </row>
    <row r="294" spans="1:29" ht="14.25">
      <c r="A294" s="464"/>
      <c r="B294" s="1113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>
      <c r="A295" s="464"/>
      <c r="B295" s="1113"/>
      <c r="C295" s="278"/>
      <c r="D295" s="796"/>
      <c r="E295" s="797"/>
      <c r="F295" s="797"/>
      <c r="G295" s="798"/>
      <c r="H295" s="293"/>
      <c r="I295" s="796"/>
      <c r="J295" s="797"/>
      <c r="K295" s="797"/>
      <c r="L295" s="798"/>
      <c r="M295" s="293"/>
      <c r="N295" s="796"/>
      <c r="O295" s="797"/>
      <c r="P295" s="797"/>
      <c r="Q295" s="798"/>
      <c r="R295" s="293"/>
      <c r="S295" s="796"/>
      <c r="T295" s="797"/>
      <c r="U295" s="797"/>
      <c r="V295" s="798"/>
      <c r="W295" s="293"/>
      <c r="X295" s="846"/>
      <c r="Y295" s="846"/>
      <c r="Z295" s="846"/>
      <c r="AA295" s="846"/>
      <c r="AB295" s="254"/>
    </row>
    <row r="296" spans="1:29" ht="14.25">
      <c r="A296" s="464"/>
      <c r="B296" s="1113"/>
      <c r="C296" s="278"/>
      <c r="D296" s="799"/>
      <c r="E296" s="800"/>
      <c r="F296" s="800"/>
      <c r="G296" s="801"/>
      <c r="H296" s="293"/>
      <c r="I296" s="799"/>
      <c r="J296" s="800"/>
      <c r="K296" s="800"/>
      <c r="L296" s="801"/>
      <c r="M296" s="293"/>
      <c r="N296" s="799"/>
      <c r="O296" s="800"/>
      <c r="P296" s="800"/>
      <c r="Q296" s="801"/>
      <c r="R296" s="293"/>
      <c r="S296" s="799"/>
      <c r="T296" s="800"/>
      <c r="U296" s="800"/>
      <c r="V296" s="801"/>
      <c r="W296" s="293"/>
      <c r="X296" s="846"/>
      <c r="Y296" s="846"/>
      <c r="Z296" s="846"/>
      <c r="AA296" s="846"/>
      <c r="AB296" s="254"/>
    </row>
    <row r="297" spans="1:29" ht="15">
      <c r="A297" s="464"/>
      <c r="B297" s="1113"/>
      <c r="C297" s="278"/>
      <c r="D297" s="953" t="s">
        <v>186</v>
      </c>
      <c r="E297" s="954"/>
      <c r="F297" s="954"/>
      <c r="G297" s="955"/>
      <c r="H297" s="293"/>
      <c r="I297" s="953" t="s">
        <v>187</v>
      </c>
      <c r="J297" s="954"/>
      <c r="K297" s="954"/>
      <c r="L297" s="955"/>
      <c r="M297" s="293"/>
      <c r="N297" s="835" t="s">
        <v>188</v>
      </c>
      <c r="O297" s="836"/>
      <c r="P297" s="836"/>
      <c r="Q297" s="837"/>
      <c r="R297" s="293"/>
      <c r="S297" s="835" t="s">
        <v>189</v>
      </c>
      <c r="T297" s="836"/>
      <c r="U297" s="836"/>
      <c r="V297" s="837"/>
      <c r="W297" s="293"/>
      <c r="X297" s="939"/>
      <c r="Y297" s="939"/>
      <c r="Z297" s="939"/>
      <c r="AA297" s="939"/>
      <c r="AB297" s="254"/>
    </row>
    <row r="298" spans="1:29" s="201" customFormat="1" ht="27" customHeight="1">
      <c r="A298" s="476"/>
      <c r="B298" s="1113"/>
      <c r="C298" s="278"/>
      <c r="D298" s="782" t="s">
        <v>602</v>
      </c>
      <c r="E298" s="783"/>
      <c r="F298" s="783"/>
      <c r="G298" s="789"/>
      <c r="H298" s="308"/>
      <c r="I298" s="782" t="s">
        <v>165</v>
      </c>
      <c r="J298" s="783"/>
      <c r="K298" s="783"/>
      <c r="L298" s="789"/>
      <c r="M298" s="308"/>
      <c r="N298" s="782" t="s">
        <v>9</v>
      </c>
      <c r="O298" s="783"/>
      <c r="P298" s="783"/>
      <c r="Q298" s="789"/>
      <c r="R298" s="308"/>
      <c r="S298" s="782" t="s">
        <v>10</v>
      </c>
      <c r="T298" s="783"/>
      <c r="U298" s="783"/>
      <c r="V298" s="789"/>
      <c r="W298" s="308"/>
      <c r="X298" s="849"/>
      <c r="Y298" s="849"/>
      <c r="Z298" s="849"/>
      <c r="AA298" s="849"/>
      <c r="AB298" s="259"/>
      <c r="AC298" s="425"/>
    </row>
    <row r="299" spans="1:29" ht="16.149999999999999" customHeight="1" thickBot="1">
      <c r="A299" s="464"/>
      <c r="B299" s="1113"/>
      <c r="C299" s="278"/>
      <c r="D299" s="898">
        <v>0.15</v>
      </c>
      <c r="E299" s="899"/>
      <c r="F299" s="962">
        <v>54</v>
      </c>
      <c r="G299" s="963"/>
      <c r="H299" s="293"/>
      <c r="I299" s="900">
        <v>0.35</v>
      </c>
      <c r="J299" s="901"/>
      <c r="K299" s="962">
        <v>0</v>
      </c>
      <c r="L299" s="963"/>
      <c r="M299" s="293"/>
      <c r="N299" s="903">
        <v>0.18</v>
      </c>
      <c r="O299" s="904"/>
      <c r="P299" s="964">
        <v>30</v>
      </c>
      <c r="Q299" s="965"/>
      <c r="R299" s="293"/>
      <c r="S299" s="903">
        <v>0.18</v>
      </c>
      <c r="T299" s="904"/>
      <c r="U299" s="964">
        <v>10</v>
      </c>
      <c r="V299" s="965"/>
      <c r="W299" s="293"/>
      <c r="X299" s="902"/>
      <c r="Y299" s="902"/>
      <c r="Z299" s="894"/>
      <c r="AA299" s="894"/>
      <c r="AB299" s="254"/>
    </row>
    <row r="300" spans="1:29" s="579" customFormat="1" ht="16.149999999999999" customHeight="1">
      <c r="A300" s="573"/>
      <c r="B300" s="1113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>
      <c r="A302" s="464"/>
      <c r="B302" s="1113" t="s">
        <v>182</v>
      </c>
      <c r="C302" s="278"/>
      <c r="D302" s="802"/>
      <c r="E302" s="803"/>
      <c r="F302" s="803"/>
      <c r="G302" s="804"/>
      <c r="H302" s="293"/>
      <c r="I302" s="779"/>
      <c r="J302" s="780"/>
      <c r="K302" s="780"/>
      <c r="L302" s="781"/>
      <c r="M302" s="293"/>
      <c r="N302" s="802"/>
      <c r="O302" s="803"/>
      <c r="P302" s="803"/>
      <c r="Q302" s="804"/>
      <c r="R302" s="293"/>
      <c r="S302" s="802"/>
      <c r="T302" s="803"/>
      <c r="U302" s="803"/>
      <c r="V302" s="804"/>
      <c r="W302" s="293"/>
      <c r="X302" s="802"/>
      <c r="Y302" s="803"/>
      <c r="Z302" s="803"/>
      <c r="AA302" s="804"/>
      <c r="AB302" s="254"/>
    </row>
    <row r="303" spans="1:29" ht="14.25">
      <c r="A303" s="464"/>
      <c r="B303" s="1113"/>
      <c r="C303" s="278"/>
      <c r="D303" s="796"/>
      <c r="E303" s="797"/>
      <c r="F303" s="797"/>
      <c r="G303" s="798"/>
      <c r="H303" s="293"/>
      <c r="I303" s="810"/>
      <c r="J303" s="811"/>
      <c r="K303" s="811"/>
      <c r="L303" s="812"/>
      <c r="M303" s="293"/>
      <c r="N303" s="796"/>
      <c r="O303" s="797"/>
      <c r="P303" s="797"/>
      <c r="Q303" s="798"/>
      <c r="R303" s="293"/>
      <c r="S303" s="796"/>
      <c r="T303" s="797"/>
      <c r="U303" s="797"/>
      <c r="V303" s="798"/>
      <c r="W303" s="293"/>
      <c r="X303" s="796"/>
      <c r="Y303" s="797"/>
      <c r="Z303" s="797"/>
      <c r="AA303" s="798"/>
      <c r="AB303" s="254"/>
    </row>
    <row r="304" spans="1:29" ht="14.25">
      <c r="A304" s="464"/>
      <c r="B304" s="1113"/>
      <c r="C304" s="278"/>
      <c r="D304" s="796"/>
      <c r="E304" s="797"/>
      <c r="F304" s="797"/>
      <c r="G304" s="798"/>
      <c r="H304" s="293"/>
      <c r="I304" s="810"/>
      <c r="J304" s="811"/>
      <c r="K304" s="811"/>
      <c r="L304" s="812"/>
      <c r="M304" s="293"/>
      <c r="N304" s="796"/>
      <c r="O304" s="797"/>
      <c r="P304" s="797"/>
      <c r="Q304" s="798"/>
      <c r="R304" s="293"/>
      <c r="S304" s="796"/>
      <c r="T304" s="797"/>
      <c r="U304" s="797"/>
      <c r="V304" s="798"/>
      <c r="W304" s="293"/>
      <c r="X304" s="796"/>
      <c r="Y304" s="797"/>
      <c r="Z304" s="797"/>
      <c r="AA304" s="798"/>
      <c r="AB304" s="254"/>
    </row>
    <row r="305" spans="1:29" ht="14.25">
      <c r="A305" s="464"/>
      <c r="B305" s="1113"/>
      <c r="C305" s="278"/>
      <c r="D305" s="316"/>
      <c r="E305" s="317"/>
      <c r="F305" s="317"/>
      <c r="G305" s="318"/>
      <c r="H305" s="293"/>
      <c r="I305" s="810"/>
      <c r="J305" s="811"/>
      <c r="K305" s="811"/>
      <c r="L305" s="812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>
      <c r="A306" s="464"/>
      <c r="B306" s="1113"/>
      <c r="C306" s="278"/>
      <c r="D306" s="796"/>
      <c r="E306" s="797"/>
      <c r="F306" s="797"/>
      <c r="G306" s="798"/>
      <c r="H306" s="293"/>
      <c r="I306" s="810"/>
      <c r="J306" s="811"/>
      <c r="K306" s="811"/>
      <c r="L306" s="812"/>
      <c r="M306" s="293"/>
      <c r="N306" s="796"/>
      <c r="O306" s="797"/>
      <c r="P306" s="797"/>
      <c r="Q306" s="798"/>
      <c r="R306" s="293"/>
      <c r="S306" s="796"/>
      <c r="T306" s="797"/>
      <c r="U306" s="797"/>
      <c r="V306" s="798"/>
      <c r="W306" s="293"/>
      <c r="X306" s="796"/>
      <c r="Y306" s="797"/>
      <c r="Z306" s="797"/>
      <c r="AA306" s="798"/>
      <c r="AB306" s="254"/>
    </row>
    <row r="307" spans="1:29" ht="14.25">
      <c r="A307" s="464"/>
      <c r="B307" s="1113"/>
      <c r="C307" s="278"/>
      <c r="D307" s="799"/>
      <c r="E307" s="800"/>
      <c r="F307" s="800"/>
      <c r="G307" s="801"/>
      <c r="H307" s="293"/>
      <c r="I307" s="912"/>
      <c r="J307" s="913"/>
      <c r="K307" s="913"/>
      <c r="L307" s="914"/>
      <c r="M307" s="293"/>
      <c r="N307" s="799"/>
      <c r="O307" s="800"/>
      <c r="P307" s="800"/>
      <c r="Q307" s="801"/>
      <c r="R307" s="293"/>
      <c r="S307" s="799"/>
      <c r="T307" s="800"/>
      <c r="U307" s="800"/>
      <c r="V307" s="801"/>
      <c r="W307" s="293"/>
      <c r="X307" s="799"/>
      <c r="Y307" s="800"/>
      <c r="Z307" s="800"/>
      <c r="AA307" s="801"/>
      <c r="AB307" s="254"/>
    </row>
    <row r="308" spans="1:29" ht="15">
      <c r="A308" s="464"/>
      <c r="B308" s="1113"/>
      <c r="C308" s="278"/>
      <c r="D308" s="826" t="s">
        <v>225</v>
      </c>
      <c r="E308" s="827"/>
      <c r="F308" s="827"/>
      <c r="G308" s="828"/>
      <c r="H308" s="293"/>
      <c r="I308" s="826" t="s">
        <v>233</v>
      </c>
      <c r="J308" s="827"/>
      <c r="K308" s="827"/>
      <c r="L308" s="828"/>
      <c r="M308" s="293"/>
      <c r="N308" s="826" t="s">
        <v>226</v>
      </c>
      <c r="O308" s="827"/>
      <c r="P308" s="827"/>
      <c r="Q308" s="828"/>
      <c r="R308" s="293"/>
      <c r="S308" s="826" t="s">
        <v>865</v>
      </c>
      <c r="T308" s="827"/>
      <c r="U308" s="827"/>
      <c r="V308" s="828"/>
      <c r="W308" s="293"/>
      <c r="X308" s="826" t="s">
        <v>866</v>
      </c>
      <c r="Y308" s="827"/>
      <c r="Z308" s="827"/>
      <c r="AA308" s="828"/>
      <c r="AB308" s="254"/>
    </row>
    <row r="309" spans="1:29" s="201" customFormat="1" ht="27" customHeight="1">
      <c r="A309" s="476"/>
      <c r="B309" s="1113"/>
      <c r="C309" s="278"/>
      <c r="D309" s="782" t="s">
        <v>306</v>
      </c>
      <c r="E309" s="783"/>
      <c r="F309" s="783"/>
      <c r="G309" s="789"/>
      <c r="H309" s="308"/>
      <c r="I309" s="782" t="s">
        <v>744</v>
      </c>
      <c r="J309" s="783"/>
      <c r="K309" s="783"/>
      <c r="L309" s="789"/>
      <c r="M309" s="308"/>
      <c r="N309" s="782" t="s">
        <v>743</v>
      </c>
      <c r="O309" s="783"/>
      <c r="P309" s="783"/>
      <c r="Q309" s="789"/>
      <c r="R309" s="308"/>
      <c r="S309" s="782" t="s">
        <v>868</v>
      </c>
      <c r="T309" s="783"/>
      <c r="U309" s="783"/>
      <c r="V309" s="789"/>
      <c r="W309" s="308"/>
      <c r="X309" s="782" t="s">
        <v>869</v>
      </c>
      <c r="Y309" s="783"/>
      <c r="Z309" s="783"/>
      <c r="AA309" s="789"/>
      <c r="AB309" s="259"/>
      <c r="AC309" s="425"/>
    </row>
    <row r="310" spans="1:29" ht="16.149999999999999" customHeight="1">
      <c r="A310" s="464"/>
      <c r="B310" s="1113"/>
      <c r="C310" s="278"/>
      <c r="D310" s="956">
        <v>1.75</v>
      </c>
      <c r="E310" s="957"/>
      <c r="F310" s="892">
        <v>0</v>
      </c>
      <c r="G310" s="893"/>
      <c r="H310" s="293"/>
      <c r="I310" s="958">
        <v>0.55000000000000004</v>
      </c>
      <c r="J310" s="959"/>
      <c r="K310" s="892">
        <v>0</v>
      </c>
      <c r="L310" s="893"/>
      <c r="M310" s="293"/>
      <c r="N310" s="898">
        <v>1.75</v>
      </c>
      <c r="O310" s="899"/>
      <c r="P310" s="892">
        <v>0</v>
      </c>
      <c r="Q310" s="893"/>
      <c r="R310" s="293"/>
      <c r="S310" s="898">
        <v>1.9</v>
      </c>
      <c r="T310" s="899"/>
      <c r="U310" s="892">
        <v>0</v>
      </c>
      <c r="V310" s="893"/>
      <c r="W310" s="293"/>
      <c r="X310" s="898">
        <v>2.25</v>
      </c>
      <c r="Y310" s="899"/>
      <c r="Z310" s="892">
        <v>0</v>
      </c>
      <c r="AA310" s="893"/>
      <c r="AB310" s="254"/>
    </row>
    <row r="311" spans="1:29" s="579" customFormat="1" ht="16.149999999999999" customHeight="1">
      <c r="A311" s="573"/>
      <c r="B311" s="1113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>
      <c r="A313" s="464"/>
      <c r="B313" s="1113" t="s">
        <v>168</v>
      </c>
      <c r="C313" s="288"/>
      <c r="D313" s="802"/>
      <c r="E313" s="803"/>
      <c r="F313" s="803"/>
      <c r="G313" s="804"/>
      <c r="H313" s="293"/>
      <c r="I313" s="802"/>
      <c r="J313" s="803"/>
      <c r="K313" s="803"/>
      <c r="L313" s="804"/>
      <c r="M313" s="293"/>
      <c r="N313" s="802"/>
      <c r="O313" s="803"/>
      <c r="P313" s="803"/>
      <c r="Q313" s="804"/>
      <c r="R313" s="293"/>
      <c r="S313" s="802"/>
      <c r="T313" s="803"/>
      <c r="U313" s="803"/>
      <c r="V313" s="804"/>
      <c r="W313" s="293"/>
      <c r="X313" s="846"/>
      <c r="Y313" s="846"/>
      <c r="Z313" s="846"/>
      <c r="AA313" s="846"/>
      <c r="AB313" s="254"/>
    </row>
    <row r="314" spans="1:29" ht="14.25">
      <c r="A314" s="464"/>
      <c r="B314" s="1113"/>
      <c r="C314" s="288"/>
      <c r="D314" s="796"/>
      <c r="E314" s="797"/>
      <c r="F314" s="797"/>
      <c r="G314" s="798"/>
      <c r="H314" s="293"/>
      <c r="I314" s="796"/>
      <c r="J314" s="797"/>
      <c r="K314" s="797"/>
      <c r="L314" s="798"/>
      <c r="M314" s="293"/>
      <c r="N314" s="796"/>
      <c r="O314" s="797"/>
      <c r="P314" s="797"/>
      <c r="Q314" s="798"/>
      <c r="R314" s="293"/>
      <c r="S314" s="796"/>
      <c r="T314" s="797"/>
      <c r="U314" s="797"/>
      <c r="V314" s="798"/>
      <c r="W314" s="293"/>
      <c r="X314" s="846"/>
      <c r="Y314" s="846"/>
      <c r="Z314" s="846"/>
      <c r="AA314" s="846"/>
      <c r="AB314" s="254"/>
    </row>
    <row r="315" spans="1:29" ht="14.25">
      <c r="A315" s="464"/>
      <c r="B315" s="1113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>
      <c r="A316" s="464"/>
      <c r="B316" s="1113"/>
      <c r="C316" s="288"/>
      <c r="D316" s="796"/>
      <c r="E316" s="797"/>
      <c r="F316" s="797"/>
      <c r="G316" s="798"/>
      <c r="H316" s="293"/>
      <c r="I316" s="796"/>
      <c r="J316" s="797"/>
      <c r="K316" s="797"/>
      <c r="L316" s="798"/>
      <c r="M316" s="293"/>
      <c r="N316" s="796"/>
      <c r="O316" s="797"/>
      <c r="P316" s="797"/>
      <c r="Q316" s="798"/>
      <c r="R316" s="293"/>
      <c r="S316" s="796"/>
      <c r="T316" s="797"/>
      <c r="U316" s="797"/>
      <c r="V316" s="798"/>
      <c r="W316" s="293"/>
      <c r="X316" s="846"/>
      <c r="Y316" s="846"/>
      <c r="Z316" s="846"/>
      <c r="AA316" s="846"/>
      <c r="AB316" s="254"/>
    </row>
    <row r="317" spans="1:29" ht="14.25">
      <c r="A317" s="464"/>
      <c r="B317" s="1113"/>
      <c r="C317" s="288"/>
      <c r="D317" s="796"/>
      <c r="E317" s="797"/>
      <c r="F317" s="797"/>
      <c r="G317" s="798"/>
      <c r="H317" s="293"/>
      <c r="I317" s="796"/>
      <c r="J317" s="797"/>
      <c r="K317" s="797"/>
      <c r="L317" s="798"/>
      <c r="M317" s="293"/>
      <c r="N317" s="796"/>
      <c r="O317" s="797"/>
      <c r="P317" s="797"/>
      <c r="Q317" s="798"/>
      <c r="R317" s="293"/>
      <c r="S317" s="796"/>
      <c r="T317" s="797"/>
      <c r="U317" s="797"/>
      <c r="V317" s="798"/>
      <c r="W317" s="293"/>
      <c r="X317" s="846"/>
      <c r="Y317" s="846"/>
      <c r="Z317" s="846"/>
      <c r="AA317" s="846"/>
      <c r="AB317" s="254"/>
    </row>
    <row r="318" spans="1:29" ht="14.25">
      <c r="A318" s="464"/>
      <c r="B318" s="1113"/>
      <c r="C318" s="288"/>
      <c r="D318" s="799"/>
      <c r="E318" s="800"/>
      <c r="F318" s="800"/>
      <c r="G318" s="801"/>
      <c r="H318" s="293"/>
      <c r="I318" s="799"/>
      <c r="J318" s="800"/>
      <c r="K318" s="800"/>
      <c r="L318" s="801"/>
      <c r="M318" s="293"/>
      <c r="N318" s="799"/>
      <c r="O318" s="800"/>
      <c r="P318" s="800"/>
      <c r="Q318" s="801"/>
      <c r="R318" s="293"/>
      <c r="S318" s="799"/>
      <c r="T318" s="800"/>
      <c r="U318" s="800"/>
      <c r="V318" s="801"/>
      <c r="W318" s="293"/>
      <c r="X318" s="846"/>
      <c r="Y318" s="846"/>
      <c r="Z318" s="846"/>
      <c r="AA318" s="846"/>
      <c r="AB318" s="254"/>
    </row>
    <row r="319" spans="1:29" ht="15">
      <c r="A319" s="464"/>
      <c r="B319" s="1113"/>
      <c r="C319" s="288"/>
      <c r="D319" s="826" t="s">
        <v>227</v>
      </c>
      <c r="E319" s="827"/>
      <c r="F319" s="827"/>
      <c r="G319" s="828"/>
      <c r="H319" s="293"/>
      <c r="I319" s="826" t="s">
        <v>219</v>
      </c>
      <c r="J319" s="827"/>
      <c r="K319" s="827"/>
      <c r="L319" s="828"/>
      <c r="M319" s="293"/>
      <c r="N319" s="826" t="s">
        <v>190</v>
      </c>
      <c r="O319" s="827"/>
      <c r="P319" s="827"/>
      <c r="Q319" s="828"/>
      <c r="R319" s="293"/>
      <c r="S319" s="826" t="s">
        <v>867</v>
      </c>
      <c r="T319" s="827"/>
      <c r="U319" s="827"/>
      <c r="V319" s="828"/>
      <c r="W319" s="293"/>
      <c r="X319" s="939"/>
      <c r="Y319" s="939"/>
      <c r="Z319" s="939"/>
      <c r="AA319" s="939"/>
      <c r="AB319" s="254"/>
    </row>
    <row r="320" spans="1:29" s="201" customFormat="1" ht="27" customHeight="1">
      <c r="A320" s="476"/>
      <c r="B320" s="1113"/>
      <c r="C320" s="288"/>
      <c r="D320" s="782" t="s">
        <v>603</v>
      </c>
      <c r="E320" s="783"/>
      <c r="F320" s="783"/>
      <c r="G320" s="789"/>
      <c r="H320" s="308"/>
      <c r="I320" s="782" t="s">
        <v>11</v>
      </c>
      <c r="J320" s="783"/>
      <c r="K320" s="783"/>
      <c r="L320" s="789"/>
      <c r="M320" s="308"/>
      <c r="N320" s="782" t="s">
        <v>0</v>
      </c>
      <c r="O320" s="783"/>
      <c r="P320" s="783"/>
      <c r="Q320" s="789"/>
      <c r="R320" s="308"/>
      <c r="S320" s="782" t="s">
        <v>870</v>
      </c>
      <c r="T320" s="783"/>
      <c r="U320" s="783"/>
      <c r="V320" s="789"/>
      <c r="W320" s="308"/>
      <c r="X320" s="849"/>
      <c r="Y320" s="849"/>
      <c r="Z320" s="849"/>
      <c r="AA320" s="849"/>
      <c r="AB320" s="259"/>
      <c r="AC320" s="425"/>
    </row>
    <row r="321" spans="1:29" ht="16.149999999999999" customHeight="1">
      <c r="A321" s="464"/>
      <c r="B321" s="1113"/>
      <c r="C321" s="288"/>
      <c r="D321" s="898">
        <v>0.9</v>
      </c>
      <c r="E321" s="899"/>
      <c r="F321" s="892">
        <v>0</v>
      </c>
      <c r="G321" s="893"/>
      <c r="H321" s="293"/>
      <c r="I321" s="898">
        <v>5</v>
      </c>
      <c r="J321" s="899"/>
      <c r="K321" s="892">
        <v>0</v>
      </c>
      <c r="L321" s="893"/>
      <c r="M321" s="293"/>
      <c r="N321" s="898">
        <v>2.25</v>
      </c>
      <c r="O321" s="899"/>
      <c r="P321" s="892">
        <v>1</v>
      </c>
      <c r="Q321" s="893"/>
      <c r="R321" s="293"/>
      <c r="S321" s="898">
        <v>2.4</v>
      </c>
      <c r="T321" s="899"/>
      <c r="U321" s="892">
        <v>0</v>
      </c>
      <c r="V321" s="893"/>
      <c r="W321" s="293"/>
      <c r="X321" s="902"/>
      <c r="Y321" s="902"/>
      <c r="Z321" s="894"/>
      <c r="AA321" s="894"/>
      <c r="AB321" s="254"/>
    </row>
    <row r="322" spans="1:29" s="579" customFormat="1" ht="16.149999999999999" customHeight="1">
      <c r="A322" s="573"/>
      <c r="B322" s="1113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>
      <c r="A324" s="464"/>
      <c r="B324" s="1113" t="s">
        <v>469</v>
      </c>
      <c r="C324" s="278"/>
      <c r="D324" s="802"/>
      <c r="E324" s="803"/>
      <c r="F324" s="803"/>
      <c r="G324" s="804"/>
      <c r="H324" s="293"/>
      <c r="I324" s="802"/>
      <c r="J324" s="803"/>
      <c r="K324" s="803"/>
      <c r="L324" s="804"/>
      <c r="M324" s="293"/>
      <c r="N324" s="779"/>
      <c r="O324" s="780"/>
      <c r="P324" s="780"/>
      <c r="Q324" s="781"/>
      <c r="R324" s="293"/>
      <c r="S324" s="802"/>
      <c r="T324" s="803"/>
      <c r="U324" s="803"/>
      <c r="V324" s="804"/>
      <c r="W324" s="293"/>
      <c r="X324" s="777"/>
      <c r="Y324" s="777"/>
      <c r="Z324" s="777"/>
      <c r="AA324" s="777"/>
      <c r="AB324" s="254"/>
    </row>
    <row r="325" spans="1:29" ht="14.25">
      <c r="A325" s="464"/>
      <c r="B325" s="1113"/>
      <c r="C325" s="278"/>
      <c r="D325" s="796"/>
      <c r="E325" s="797"/>
      <c r="F325" s="797"/>
      <c r="G325" s="798"/>
      <c r="H325" s="293"/>
      <c r="I325" s="796"/>
      <c r="J325" s="797"/>
      <c r="K325" s="797"/>
      <c r="L325" s="798"/>
      <c r="M325" s="293"/>
      <c r="N325" s="796"/>
      <c r="O325" s="797"/>
      <c r="P325" s="797"/>
      <c r="Q325" s="798"/>
      <c r="R325" s="293"/>
      <c r="S325" s="796"/>
      <c r="T325" s="797"/>
      <c r="U325" s="797"/>
      <c r="V325" s="798"/>
      <c r="W325" s="293"/>
      <c r="X325" s="811"/>
      <c r="Y325" s="949"/>
      <c r="Z325" s="949"/>
      <c r="AA325" s="811"/>
      <c r="AB325" s="254"/>
    </row>
    <row r="326" spans="1:29" ht="14.25">
      <c r="A326" s="464"/>
      <c r="B326" s="1113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1"/>
      <c r="Y326" s="949"/>
      <c r="Z326" s="949"/>
      <c r="AA326" s="811"/>
      <c r="AB326" s="254"/>
    </row>
    <row r="327" spans="1:29" ht="14.25">
      <c r="A327" s="464"/>
      <c r="B327" s="1113"/>
      <c r="C327" s="278"/>
      <c r="D327" s="796"/>
      <c r="E327" s="797"/>
      <c r="F327" s="797"/>
      <c r="G327" s="798"/>
      <c r="H327" s="293"/>
      <c r="I327" s="796"/>
      <c r="J327" s="797"/>
      <c r="K327" s="797"/>
      <c r="L327" s="798"/>
      <c r="M327" s="293"/>
      <c r="N327" s="796"/>
      <c r="O327" s="797"/>
      <c r="P327" s="797"/>
      <c r="Q327" s="798"/>
      <c r="R327" s="293"/>
      <c r="S327" s="796"/>
      <c r="T327" s="797"/>
      <c r="U327" s="797"/>
      <c r="V327" s="798"/>
      <c r="W327" s="293"/>
      <c r="X327" s="811"/>
      <c r="Y327" s="949"/>
      <c r="Z327" s="949"/>
      <c r="AA327" s="811"/>
      <c r="AB327" s="254"/>
    </row>
    <row r="328" spans="1:29" ht="14.25">
      <c r="A328" s="464"/>
      <c r="B328" s="1113"/>
      <c r="C328" s="278"/>
      <c r="D328" s="796"/>
      <c r="E328" s="797"/>
      <c r="F328" s="797"/>
      <c r="G328" s="798"/>
      <c r="H328" s="293"/>
      <c r="I328" s="796"/>
      <c r="J328" s="797"/>
      <c r="K328" s="797"/>
      <c r="L328" s="798"/>
      <c r="M328" s="293"/>
      <c r="N328" s="796"/>
      <c r="O328" s="797"/>
      <c r="P328" s="797"/>
      <c r="Q328" s="798"/>
      <c r="R328" s="293"/>
      <c r="S328" s="796"/>
      <c r="T328" s="797"/>
      <c r="U328" s="797"/>
      <c r="V328" s="798"/>
      <c r="W328" s="293"/>
      <c r="X328" s="811"/>
      <c r="Y328" s="949"/>
      <c r="Z328" s="949"/>
      <c r="AA328" s="811"/>
      <c r="AB328" s="254"/>
    </row>
    <row r="329" spans="1:29" ht="14.25">
      <c r="A329" s="464"/>
      <c r="B329" s="1113"/>
      <c r="C329" s="278"/>
      <c r="D329" s="799"/>
      <c r="E329" s="800"/>
      <c r="F329" s="800"/>
      <c r="G329" s="801"/>
      <c r="H329" s="293"/>
      <c r="I329" s="799"/>
      <c r="J329" s="800"/>
      <c r="K329" s="800"/>
      <c r="L329" s="801"/>
      <c r="M329" s="293"/>
      <c r="N329" s="799"/>
      <c r="O329" s="800"/>
      <c r="P329" s="800"/>
      <c r="Q329" s="801"/>
      <c r="R329" s="293"/>
      <c r="S329" s="799"/>
      <c r="T329" s="800"/>
      <c r="U329" s="800"/>
      <c r="V329" s="801"/>
      <c r="W329" s="293"/>
      <c r="X329" s="811"/>
      <c r="Y329" s="811"/>
      <c r="Z329" s="811"/>
      <c r="AA329" s="811"/>
      <c r="AB329" s="254"/>
    </row>
    <row r="330" spans="1:29" ht="15">
      <c r="A330" s="464"/>
      <c r="B330" s="1113"/>
      <c r="C330" s="278"/>
      <c r="D330" s="826" t="s">
        <v>418</v>
      </c>
      <c r="E330" s="827"/>
      <c r="F330" s="827"/>
      <c r="G330" s="828"/>
      <c r="H330" s="293"/>
      <c r="I330" s="826" t="s">
        <v>191</v>
      </c>
      <c r="J330" s="827"/>
      <c r="K330" s="827"/>
      <c r="L330" s="828"/>
      <c r="M330" s="293"/>
      <c r="N330" s="786" t="s">
        <v>378</v>
      </c>
      <c r="O330" s="787"/>
      <c r="P330" s="787"/>
      <c r="Q330" s="788"/>
      <c r="R330" s="293"/>
      <c r="S330" s="826" t="s">
        <v>228</v>
      </c>
      <c r="T330" s="827"/>
      <c r="U330" s="827"/>
      <c r="V330" s="828"/>
      <c r="W330" s="293"/>
      <c r="X330" s="826" t="s">
        <v>523</v>
      </c>
      <c r="Y330" s="827"/>
      <c r="Z330" s="827"/>
      <c r="AA330" s="828"/>
      <c r="AB330" s="254"/>
    </row>
    <row r="331" spans="1:29" s="201" customFormat="1" ht="27" customHeight="1" thickBot="1">
      <c r="A331" s="476"/>
      <c r="B331" s="1113"/>
      <c r="C331" s="278"/>
      <c r="D331" s="782" t="s">
        <v>736</v>
      </c>
      <c r="E331" s="783"/>
      <c r="F331" s="783"/>
      <c r="G331" s="789"/>
      <c r="H331" s="308"/>
      <c r="I331" s="782" t="s">
        <v>605</v>
      </c>
      <c r="J331" s="783"/>
      <c r="K331" s="783"/>
      <c r="L331" s="789"/>
      <c r="M331" s="308"/>
      <c r="N331" s="782" t="s">
        <v>607</v>
      </c>
      <c r="O331" s="783"/>
      <c r="P331" s="783"/>
      <c r="Q331" s="789"/>
      <c r="R331" s="308"/>
      <c r="S331" s="782" t="s">
        <v>606</v>
      </c>
      <c r="T331" s="783"/>
      <c r="U331" s="783"/>
      <c r="V331" s="789"/>
      <c r="W331" s="308"/>
      <c r="X331" s="960" t="s">
        <v>608</v>
      </c>
      <c r="Y331" s="830"/>
      <c r="Z331" s="830"/>
      <c r="AA331" s="831"/>
      <c r="AB331" s="259"/>
      <c r="AC331" s="425"/>
    </row>
    <row r="332" spans="1:29" ht="16.149999999999999" customHeight="1" thickBot="1">
      <c r="A332" s="464"/>
      <c r="B332" s="1113"/>
      <c r="C332" s="278"/>
      <c r="D332" s="898">
        <v>2.5</v>
      </c>
      <c r="E332" s="899"/>
      <c r="F332" s="892">
        <v>0</v>
      </c>
      <c r="G332" s="893"/>
      <c r="H332" s="293"/>
      <c r="I332" s="898">
        <v>4.45</v>
      </c>
      <c r="J332" s="899"/>
      <c r="K332" s="892">
        <v>0</v>
      </c>
      <c r="L332" s="893"/>
      <c r="M332" s="293"/>
      <c r="N332" s="905">
        <v>1.2</v>
      </c>
      <c r="O332" s="1182"/>
      <c r="P332" s="934">
        <v>0</v>
      </c>
      <c r="Q332" s="1126"/>
      <c r="R332" s="293"/>
      <c r="S332" s="900">
        <v>1.2</v>
      </c>
      <c r="T332" s="901"/>
      <c r="U332" s="892">
        <v>0</v>
      </c>
      <c r="V332" s="893"/>
      <c r="W332" s="293"/>
      <c r="X332" s="968">
        <v>3.5</v>
      </c>
      <c r="Y332" s="969"/>
      <c r="Z332" s="832">
        <v>0</v>
      </c>
      <c r="AA332" s="961"/>
      <c r="AB332" s="254"/>
    </row>
    <row r="333" spans="1:29" s="579" customFormat="1" ht="16.149999999999999" customHeight="1">
      <c r="A333" s="573"/>
      <c r="B333" s="1113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>
      <c r="A335" s="464"/>
      <c r="B335" s="1113" t="s">
        <v>166</v>
      </c>
      <c r="C335" s="278"/>
      <c r="D335" s="802"/>
      <c r="E335" s="803"/>
      <c r="F335" s="803"/>
      <c r="G335" s="804"/>
      <c r="H335" s="293"/>
      <c r="I335" s="802"/>
      <c r="J335" s="803"/>
      <c r="K335" s="803"/>
      <c r="L335" s="804"/>
      <c r="M335" s="293"/>
      <c r="N335" s="802"/>
      <c r="O335" s="803"/>
      <c r="P335" s="803"/>
      <c r="Q335" s="804"/>
      <c r="R335" s="293"/>
      <c r="S335" s="802"/>
      <c r="T335" s="803"/>
      <c r="U335" s="803"/>
      <c r="V335" s="804"/>
      <c r="W335" s="293"/>
      <c r="X335" s="802"/>
      <c r="Y335" s="803"/>
      <c r="Z335" s="803"/>
      <c r="AA335" s="804"/>
      <c r="AB335" s="254"/>
    </row>
    <row r="336" spans="1:29" ht="14.25">
      <c r="A336" s="464"/>
      <c r="B336" s="1113"/>
      <c r="C336" s="278"/>
      <c r="D336" s="796"/>
      <c r="E336" s="797"/>
      <c r="F336" s="797"/>
      <c r="G336" s="798"/>
      <c r="H336" s="293"/>
      <c r="I336" s="796"/>
      <c r="J336" s="797"/>
      <c r="K336" s="797"/>
      <c r="L336" s="798"/>
      <c r="M336" s="293"/>
      <c r="N336" s="796"/>
      <c r="O336" s="797"/>
      <c r="P336" s="797"/>
      <c r="Q336" s="798"/>
      <c r="R336" s="293"/>
      <c r="S336" s="796"/>
      <c r="T336" s="797"/>
      <c r="U336" s="797"/>
      <c r="V336" s="798"/>
      <c r="W336" s="293"/>
      <c r="X336" s="796"/>
      <c r="Y336" s="797"/>
      <c r="Z336" s="797"/>
      <c r="AA336" s="798"/>
      <c r="AB336" s="254"/>
    </row>
    <row r="337" spans="1:29" ht="14.25">
      <c r="A337" s="464"/>
      <c r="B337" s="1113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>
      <c r="A338" s="464"/>
      <c r="B338" s="1113"/>
      <c r="C338" s="278"/>
      <c r="D338" s="796"/>
      <c r="E338" s="797"/>
      <c r="F338" s="797"/>
      <c r="G338" s="798"/>
      <c r="H338" s="293"/>
      <c r="I338" s="796"/>
      <c r="J338" s="797"/>
      <c r="K338" s="797"/>
      <c r="L338" s="798"/>
      <c r="M338" s="293"/>
      <c r="N338" s="796"/>
      <c r="O338" s="797"/>
      <c r="P338" s="797"/>
      <c r="Q338" s="798"/>
      <c r="R338" s="293"/>
      <c r="S338" s="796"/>
      <c r="T338" s="797"/>
      <c r="U338" s="797"/>
      <c r="V338" s="798"/>
      <c r="W338" s="293"/>
      <c r="X338" s="796"/>
      <c r="Y338" s="797"/>
      <c r="Z338" s="797"/>
      <c r="AA338" s="798"/>
      <c r="AB338" s="254"/>
    </row>
    <row r="339" spans="1:29" ht="14.25">
      <c r="A339" s="464"/>
      <c r="B339" s="1113"/>
      <c r="C339" s="278"/>
      <c r="D339" s="796"/>
      <c r="E339" s="797"/>
      <c r="F339" s="797"/>
      <c r="G339" s="798"/>
      <c r="H339" s="293"/>
      <c r="I339" s="796"/>
      <c r="J339" s="797"/>
      <c r="K339" s="797"/>
      <c r="L339" s="798"/>
      <c r="M339" s="293"/>
      <c r="N339" s="796"/>
      <c r="O339" s="797"/>
      <c r="P339" s="797"/>
      <c r="Q339" s="798"/>
      <c r="R339" s="293"/>
      <c r="S339" s="796"/>
      <c r="T339" s="797"/>
      <c r="U339" s="797"/>
      <c r="V339" s="798"/>
      <c r="W339" s="293"/>
      <c r="X339" s="796"/>
      <c r="Y339" s="797"/>
      <c r="Z339" s="797"/>
      <c r="AA339" s="798"/>
      <c r="AB339" s="254"/>
    </row>
    <row r="340" spans="1:29" ht="14.25">
      <c r="A340" s="464"/>
      <c r="B340" s="1113"/>
      <c r="C340" s="278"/>
      <c r="D340" s="799"/>
      <c r="E340" s="800"/>
      <c r="F340" s="800"/>
      <c r="G340" s="801"/>
      <c r="H340" s="293"/>
      <c r="I340" s="799"/>
      <c r="J340" s="800"/>
      <c r="K340" s="800"/>
      <c r="L340" s="801"/>
      <c r="M340" s="293"/>
      <c r="N340" s="799"/>
      <c r="O340" s="800"/>
      <c r="P340" s="800"/>
      <c r="Q340" s="801"/>
      <c r="R340" s="293"/>
      <c r="S340" s="799"/>
      <c r="T340" s="800"/>
      <c r="U340" s="800"/>
      <c r="V340" s="801"/>
      <c r="W340" s="293"/>
      <c r="X340" s="799"/>
      <c r="Y340" s="800"/>
      <c r="Z340" s="800"/>
      <c r="AA340" s="801"/>
      <c r="AB340" s="254"/>
    </row>
    <row r="341" spans="1:29" ht="14.1" customHeight="1">
      <c r="A341" s="464"/>
      <c r="B341" s="1113"/>
      <c r="C341" s="278"/>
      <c r="D341" s="826" t="s">
        <v>192</v>
      </c>
      <c r="E341" s="827"/>
      <c r="F341" s="827"/>
      <c r="G341" s="828"/>
      <c r="H341" s="293"/>
      <c r="I341" s="826" t="s">
        <v>185</v>
      </c>
      <c r="J341" s="827"/>
      <c r="K341" s="827"/>
      <c r="L341" s="828"/>
      <c r="M341" s="293"/>
      <c r="N341" s="826" t="s">
        <v>183</v>
      </c>
      <c r="O341" s="827"/>
      <c r="P341" s="827"/>
      <c r="Q341" s="828"/>
      <c r="R341" s="293"/>
      <c r="S341" s="826" t="s">
        <v>558</v>
      </c>
      <c r="T341" s="827"/>
      <c r="U341" s="827"/>
      <c r="V341" s="828"/>
      <c r="W341" s="293"/>
      <c r="X341" s="826" t="s">
        <v>559</v>
      </c>
      <c r="Y341" s="827"/>
      <c r="Z341" s="827"/>
      <c r="AA341" s="828"/>
      <c r="AB341" s="254"/>
    </row>
    <row r="342" spans="1:29" s="201" customFormat="1" ht="27" customHeight="1">
      <c r="A342" s="476"/>
      <c r="B342" s="1113"/>
      <c r="C342" s="278"/>
      <c r="D342" s="782" t="s">
        <v>609</v>
      </c>
      <c r="E342" s="783"/>
      <c r="F342" s="783"/>
      <c r="G342" s="789"/>
      <c r="H342" s="308"/>
      <c r="I342" s="782" t="s">
        <v>604</v>
      </c>
      <c r="J342" s="783"/>
      <c r="K342" s="783"/>
      <c r="L342" s="789"/>
      <c r="M342" s="308"/>
      <c r="N342" s="782" t="s">
        <v>234</v>
      </c>
      <c r="O342" s="783"/>
      <c r="P342" s="783"/>
      <c r="Q342" s="789"/>
      <c r="R342" s="308"/>
      <c r="S342" s="782" t="s">
        <v>560</v>
      </c>
      <c r="T342" s="783"/>
      <c r="U342" s="783"/>
      <c r="V342" s="789"/>
      <c r="W342" s="308"/>
      <c r="X342" s="782" t="s">
        <v>561</v>
      </c>
      <c r="Y342" s="783"/>
      <c r="Z342" s="783"/>
      <c r="AA342" s="789"/>
      <c r="AB342" s="259"/>
      <c r="AC342" s="425"/>
    </row>
    <row r="343" spans="1:29" ht="16.149999999999999" customHeight="1">
      <c r="A343" s="464"/>
      <c r="B343" s="1113"/>
      <c r="C343" s="278"/>
      <c r="D343" s="956">
        <v>0.8</v>
      </c>
      <c r="E343" s="957"/>
      <c r="F343" s="892">
        <v>0</v>
      </c>
      <c r="G343" s="893"/>
      <c r="H343" s="293"/>
      <c r="I343" s="898">
        <v>2.5</v>
      </c>
      <c r="J343" s="899"/>
      <c r="K343" s="892">
        <v>0</v>
      </c>
      <c r="L343" s="893"/>
      <c r="M343" s="293"/>
      <c r="N343" s="898">
        <v>7</v>
      </c>
      <c r="O343" s="899"/>
      <c r="P343" s="892">
        <v>1</v>
      </c>
      <c r="Q343" s="893"/>
      <c r="R343" s="293"/>
      <c r="S343" s="898">
        <v>900</v>
      </c>
      <c r="T343" s="899"/>
      <c r="U343" s="892">
        <v>0</v>
      </c>
      <c r="V343" s="893"/>
      <c r="W343" s="293"/>
      <c r="X343" s="898">
        <v>675</v>
      </c>
      <c r="Y343" s="899"/>
      <c r="Z343" s="892">
        <v>0</v>
      </c>
      <c r="AA343" s="893"/>
      <c r="AB343" s="254"/>
    </row>
    <row r="344" spans="1:29" s="579" customFormat="1" ht="15.95" customHeight="1">
      <c r="A344" s="573"/>
      <c r="B344" s="1113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>
      <c r="A346" s="471"/>
      <c r="B346" s="1113" t="s">
        <v>456</v>
      </c>
      <c r="C346" s="278"/>
      <c r="D346" s="779"/>
      <c r="E346" s="780"/>
      <c r="F346" s="780"/>
      <c r="G346" s="781"/>
      <c r="H346" s="293"/>
      <c r="I346" s="779"/>
      <c r="J346" s="780"/>
      <c r="K346" s="780"/>
      <c r="L346" s="781"/>
      <c r="M346" s="293"/>
      <c r="N346" s="779"/>
      <c r="O346" s="780"/>
      <c r="P346" s="780"/>
      <c r="Q346" s="781"/>
      <c r="R346" s="293"/>
      <c r="S346" s="779"/>
      <c r="T346" s="780"/>
      <c r="U346" s="780"/>
      <c r="V346" s="781"/>
      <c r="W346" s="293"/>
      <c r="X346" s="779"/>
      <c r="Y346" s="780"/>
      <c r="Z346" s="780"/>
      <c r="AA346" s="781"/>
      <c r="AB346" s="255"/>
      <c r="AC346" s="420"/>
    </row>
    <row r="347" spans="1:29" s="199" customFormat="1" ht="13.5" customHeight="1">
      <c r="A347" s="471"/>
      <c r="B347" s="1113"/>
      <c r="C347" s="278"/>
      <c r="D347" s="810"/>
      <c r="E347" s="811"/>
      <c r="F347" s="811"/>
      <c r="G347" s="812"/>
      <c r="H347" s="293"/>
      <c r="I347" s="810"/>
      <c r="J347" s="811"/>
      <c r="K347" s="811"/>
      <c r="L347" s="812"/>
      <c r="M347" s="293"/>
      <c r="N347" s="810"/>
      <c r="O347" s="811"/>
      <c r="P347" s="811"/>
      <c r="Q347" s="812"/>
      <c r="R347" s="293"/>
      <c r="S347" s="810"/>
      <c r="T347" s="811"/>
      <c r="U347" s="811"/>
      <c r="V347" s="812"/>
      <c r="W347" s="293"/>
      <c r="X347" s="776"/>
      <c r="Y347" s="777"/>
      <c r="Z347" s="777"/>
      <c r="AA347" s="778"/>
      <c r="AB347" s="255"/>
      <c r="AC347" s="420"/>
    </row>
    <row r="348" spans="1:29" s="199" customFormat="1" ht="13.5" customHeight="1">
      <c r="A348" s="471"/>
      <c r="B348" s="1113"/>
      <c r="C348" s="278"/>
      <c r="D348" s="810"/>
      <c r="E348" s="811"/>
      <c r="F348" s="811"/>
      <c r="G348" s="812"/>
      <c r="H348" s="293"/>
      <c r="I348" s="810"/>
      <c r="J348" s="811"/>
      <c r="K348" s="811"/>
      <c r="L348" s="812"/>
      <c r="M348" s="293"/>
      <c r="N348" s="810"/>
      <c r="O348" s="811"/>
      <c r="P348" s="811"/>
      <c r="Q348" s="812"/>
      <c r="R348" s="293"/>
      <c r="S348" s="810"/>
      <c r="T348" s="811"/>
      <c r="U348" s="811"/>
      <c r="V348" s="812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>
      <c r="A349" s="471"/>
      <c r="B349" s="1113"/>
      <c r="C349" s="278"/>
      <c r="D349" s="810"/>
      <c r="E349" s="811"/>
      <c r="F349" s="811"/>
      <c r="G349" s="812"/>
      <c r="H349" s="293"/>
      <c r="I349" s="810"/>
      <c r="J349" s="811"/>
      <c r="K349" s="811"/>
      <c r="L349" s="812"/>
      <c r="M349" s="293"/>
      <c r="N349" s="810"/>
      <c r="O349" s="811"/>
      <c r="P349" s="811"/>
      <c r="Q349" s="812"/>
      <c r="R349" s="293"/>
      <c r="S349" s="810"/>
      <c r="T349" s="811"/>
      <c r="U349" s="811"/>
      <c r="V349" s="812"/>
      <c r="W349" s="293"/>
      <c r="X349" s="776"/>
      <c r="Y349" s="777"/>
      <c r="Z349" s="777"/>
      <c r="AA349" s="778"/>
      <c r="AB349" s="255"/>
      <c r="AC349" s="420"/>
    </row>
    <row r="350" spans="1:29" s="199" customFormat="1" ht="13.5" customHeight="1">
      <c r="A350" s="471"/>
      <c r="B350" s="1113"/>
      <c r="C350" s="278"/>
      <c r="D350" s="810"/>
      <c r="E350" s="811"/>
      <c r="F350" s="811"/>
      <c r="G350" s="812"/>
      <c r="H350" s="293"/>
      <c r="I350" s="810"/>
      <c r="J350" s="811"/>
      <c r="K350" s="811"/>
      <c r="L350" s="812"/>
      <c r="M350" s="293"/>
      <c r="N350" s="810"/>
      <c r="O350" s="811"/>
      <c r="P350" s="811"/>
      <c r="Q350" s="812"/>
      <c r="R350" s="293"/>
      <c r="S350" s="810"/>
      <c r="T350" s="811"/>
      <c r="U350" s="811"/>
      <c r="V350" s="812"/>
      <c r="W350" s="293"/>
      <c r="X350" s="776"/>
      <c r="Y350" s="777"/>
      <c r="Z350" s="777"/>
      <c r="AA350" s="778"/>
      <c r="AB350" s="255"/>
      <c r="AC350" s="420"/>
    </row>
    <row r="351" spans="1:29" s="199" customFormat="1" ht="13.5" customHeight="1">
      <c r="A351" s="471"/>
      <c r="B351" s="1113"/>
      <c r="C351" s="278"/>
      <c r="D351" s="912"/>
      <c r="E351" s="913"/>
      <c r="F351" s="913"/>
      <c r="G351" s="914"/>
      <c r="H351" s="293"/>
      <c r="I351" s="912"/>
      <c r="J351" s="913"/>
      <c r="K351" s="913"/>
      <c r="L351" s="914"/>
      <c r="M351" s="293"/>
      <c r="N351" s="912"/>
      <c r="O351" s="913"/>
      <c r="P351" s="913"/>
      <c r="Q351" s="914"/>
      <c r="R351" s="293"/>
      <c r="S351" s="912"/>
      <c r="T351" s="913"/>
      <c r="U351" s="913"/>
      <c r="V351" s="914"/>
      <c r="W351" s="293"/>
      <c r="X351" s="773"/>
      <c r="Y351" s="774"/>
      <c r="Z351" s="774"/>
      <c r="AA351" s="775"/>
      <c r="AB351" s="255"/>
      <c r="AC351" s="420"/>
    </row>
    <row r="352" spans="1:29" s="199" customFormat="1" ht="13.5" customHeight="1">
      <c r="A352" s="471"/>
      <c r="B352" s="1113"/>
      <c r="C352" s="278"/>
      <c r="D352" s="826" t="s">
        <v>876</v>
      </c>
      <c r="E352" s="827"/>
      <c r="F352" s="827"/>
      <c r="G352" s="828"/>
      <c r="H352" s="293"/>
      <c r="I352" s="826" t="s">
        <v>875</v>
      </c>
      <c r="J352" s="827"/>
      <c r="K352" s="827"/>
      <c r="L352" s="828"/>
      <c r="M352" s="293"/>
      <c r="N352" s="826" t="s">
        <v>874</v>
      </c>
      <c r="O352" s="827"/>
      <c r="P352" s="827"/>
      <c r="Q352" s="828"/>
      <c r="R352" s="293"/>
      <c r="S352" s="826" t="s">
        <v>455</v>
      </c>
      <c r="T352" s="827"/>
      <c r="U352" s="827"/>
      <c r="V352" s="828"/>
      <c r="W352" s="293"/>
      <c r="X352" s="813" t="s">
        <v>184</v>
      </c>
      <c r="Y352" s="814"/>
      <c r="Z352" s="814"/>
      <c r="AA352" s="815"/>
      <c r="AB352" s="255"/>
      <c r="AC352" s="420"/>
    </row>
    <row r="353" spans="1:29" s="199" customFormat="1" ht="27" customHeight="1">
      <c r="A353" s="471"/>
      <c r="B353" s="1113"/>
      <c r="C353" s="278"/>
      <c r="D353" s="782" t="s">
        <v>804</v>
      </c>
      <c r="E353" s="783"/>
      <c r="F353" s="783"/>
      <c r="G353" s="789"/>
      <c r="H353" s="308"/>
      <c r="I353" s="782" t="s">
        <v>805</v>
      </c>
      <c r="J353" s="783"/>
      <c r="K353" s="783"/>
      <c r="L353" s="789"/>
      <c r="M353" s="308"/>
      <c r="N353" s="782" t="s">
        <v>806</v>
      </c>
      <c r="O353" s="783"/>
      <c r="P353" s="783"/>
      <c r="Q353" s="789"/>
      <c r="R353" s="293"/>
      <c r="S353" s="782" t="s">
        <v>611</v>
      </c>
      <c r="T353" s="783"/>
      <c r="U353" s="783"/>
      <c r="V353" s="789"/>
      <c r="W353" s="293"/>
      <c r="X353" s="782" t="s">
        <v>610</v>
      </c>
      <c r="Y353" s="783"/>
      <c r="Z353" s="783"/>
      <c r="AA353" s="789"/>
      <c r="AB353" s="255"/>
      <c r="AC353" s="420"/>
    </row>
    <row r="354" spans="1:29" s="199" customFormat="1" ht="16.149999999999999" customHeight="1">
      <c r="A354" s="471"/>
      <c r="B354" s="1113"/>
      <c r="C354" s="278"/>
      <c r="D354" s="898">
        <v>18</v>
      </c>
      <c r="E354" s="899"/>
      <c r="F354" s="892">
        <v>1</v>
      </c>
      <c r="G354" s="893"/>
      <c r="H354" s="346"/>
      <c r="I354" s="898">
        <v>19</v>
      </c>
      <c r="J354" s="899"/>
      <c r="K354" s="892">
        <v>0</v>
      </c>
      <c r="L354" s="893"/>
      <c r="M354" s="293"/>
      <c r="N354" s="898">
        <v>22</v>
      </c>
      <c r="O354" s="899"/>
      <c r="P354" s="892">
        <v>0</v>
      </c>
      <c r="Q354" s="893"/>
      <c r="R354" s="293"/>
      <c r="S354" s="898">
        <v>0.5</v>
      </c>
      <c r="T354" s="899"/>
      <c r="U354" s="892">
        <v>6</v>
      </c>
      <c r="V354" s="893"/>
      <c r="W354" s="293"/>
      <c r="X354" s="1183">
        <v>7</v>
      </c>
      <c r="Y354" s="1184"/>
      <c r="Z354" s="1185">
        <v>2</v>
      </c>
      <c r="AA354" s="1186"/>
      <c r="AB354" s="255"/>
      <c r="AC354" s="420"/>
    </row>
    <row r="355" spans="1:29" s="579" customFormat="1" ht="15.95" customHeight="1">
      <c r="A355" s="573"/>
      <c r="B355" s="1113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>
      <c r="A357" s="464"/>
      <c r="B357" s="254"/>
      <c r="C357" s="254"/>
      <c r="D357" s="802"/>
      <c r="E357" s="803"/>
      <c r="F357" s="803"/>
      <c r="G357" s="804"/>
      <c r="H357" s="293"/>
      <c r="I357" s="921"/>
      <c r="J357" s="922"/>
      <c r="K357" s="922"/>
      <c r="L357" s="923"/>
      <c r="M357" s="293"/>
      <c r="N357" s="802"/>
      <c r="O357" s="803"/>
      <c r="P357" s="803"/>
      <c r="Q357" s="804"/>
      <c r="R357" s="293"/>
      <c r="S357" s="802"/>
      <c r="T357" s="803"/>
      <c r="U357" s="803"/>
      <c r="V357" s="804"/>
      <c r="W357" s="293"/>
      <c r="X357" s="359"/>
      <c r="Y357" s="359"/>
      <c r="Z357" s="359"/>
      <c r="AA357" s="359"/>
      <c r="AB357" s="254"/>
      <c r="AC357" s="189"/>
    </row>
    <row r="358" spans="1:29" ht="13.9" customHeight="1">
      <c r="A358" s="464"/>
      <c r="B358" s="254"/>
      <c r="C358" s="254"/>
      <c r="D358" s="796"/>
      <c r="E358" s="797"/>
      <c r="F358" s="797"/>
      <c r="G358" s="798"/>
      <c r="H358" s="293"/>
      <c r="I358" s="924"/>
      <c r="J358" s="925"/>
      <c r="K358" s="925"/>
      <c r="L358" s="926"/>
      <c r="M358" s="293"/>
      <c r="N358" s="796"/>
      <c r="O358" s="797"/>
      <c r="P358" s="797"/>
      <c r="Q358" s="798"/>
      <c r="R358" s="293"/>
      <c r="S358" s="796"/>
      <c r="T358" s="797"/>
      <c r="U358" s="797"/>
      <c r="V358" s="798"/>
      <c r="W358" s="293"/>
      <c r="X358" s="359"/>
      <c r="Y358" s="359"/>
      <c r="Z358" s="359"/>
      <c r="AA358" s="359"/>
      <c r="AB358" s="254"/>
      <c r="AC358" s="189"/>
    </row>
    <row r="359" spans="1:29" ht="13.9" customHeight="1">
      <c r="A359" s="464"/>
      <c r="B359" s="254"/>
      <c r="C359" s="254"/>
      <c r="D359" s="796"/>
      <c r="E359" s="797"/>
      <c r="F359" s="797"/>
      <c r="G359" s="798"/>
      <c r="H359" s="293"/>
      <c r="I359" s="924"/>
      <c r="J359" s="925"/>
      <c r="K359" s="925"/>
      <c r="L359" s="926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>
      <c r="A360" s="464"/>
      <c r="B360" s="254"/>
      <c r="C360" s="254"/>
      <c r="D360" s="796"/>
      <c r="E360" s="797"/>
      <c r="F360" s="797"/>
      <c r="G360" s="798"/>
      <c r="H360" s="293"/>
      <c r="I360" s="924"/>
      <c r="J360" s="925"/>
      <c r="K360" s="925"/>
      <c r="L360" s="926"/>
      <c r="M360" s="293"/>
      <c r="N360" s="796"/>
      <c r="O360" s="797"/>
      <c r="P360" s="797"/>
      <c r="Q360" s="798"/>
      <c r="R360" s="293"/>
      <c r="S360" s="796"/>
      <c r="T360" s="797"/>
      <c r="U360" s="797"/>
      <c r="V360" s="798"/>
      <c r="W360" s="293"/>
      <c r="X360" s="359"/>
      <c r="Y360" s="359"/>
      <c r="Z360" s="359"/>
      <c r="AA360" s="359"/>
      <c r="AB360" s="254"/>
      <c r="AC360" s="189"/>
    </row>
    <row r="361" spans="1:29" ht="13.9" customHeight="1">
      <c r="A361" s="464"/>
      <c r="B361" s="254"/>
      <c r="C361" s="254"/>
      <c r="D361" s="796"/>
      <c r="E361" s="797"/>
      <c r="F361" s="797"/>
      <c r="G361" s="798"/>
      <c r="H361" s="293"/>
      <c r="I361" s="924"/>
      <c r="J361" s="925"/>
      <c r="K361" s="925"/>
      <c r="L361" s="926"/>
      <c r="M361" s="293"/>
      <c r="N361" s="796"/>
      <c r="O361" s="797"/>
      <c r="P361" s="797"/>
      <c r="Q361" s="798"/>
      <c r="R361" s="293"/>
      <c r="S361" s="796"/>
      <c r="T361" s="797"/>
      <c r="U361" s="797"/>
      <c r="V361" s="798"/>
      <c r="W361" s="293"/>
      <c r="X361" s="359"/>
      <c r="Y361" s="359"/>
      <c r="Z361" s="359"/>
      <c r="AA361" s="359"/>
      <c r="AB361" s="254"/>
      <c r="AC361" s="189"/>
    </row>
    <row r="362" spans="1:29" ht="13.9" customHeight="1">
      <c r="A362" s="464"/>
      <c r="B362" s="254"/>
      <c r="C362" s="254"/>
      <c r="D362" s="799"/>
      <c r="E362" s="800"/>
      <c r="F362" s="800"/>
      <c r="G362" s="801"/>
      <c r="H362" s="293"/>
      <c r="I362" s="927"/>
      <c r="J362" s="928"/>
      <c r="K362" s="928"/>
      <c r="L362" s="929"/>
      <c r="M362" s="293"/>
      <c r="N362" s="799"/>
      <c r="O362" s="800"/>
      <c r="P362" s="800"/>
      <c r="Q362" s="801"/>
      <c r="R362" s="293"/>
      <c r="S362" s="799"/>
      <c r="T362" s="800"/>
      <c r="U362" s="800"/>
      <c r="V362" s="801"/>
      <c r="W362" s="293"/>
      <c r="X362" s="359"/>
      <c r="Y362" s="359"/>
      <c r="Z362" s="359"/>
      <c r="AA362" s="359"/>
      <c r="AB362" s="254"/>
      <c r="AC362" s="189"/>
    </row>
    <row r="363" spans="1:29" ht="13.9" customHeight="1">
      <c r="A363" s="464"/>
      <c r="B363" s="254"/>
      <c r="C363" s="254"/>
      <c r="D363" s="786" t="s">
        <v>505</v>
      </c>
      <c r="E363" s="787"/>
      <c r="F363" s="787"/>
      <c r="G363" s="788"/>
      <c r="H363" s="293"/>
      <c r="I363" s="786" t="s">
        <v>506</v>
      </c>
      <c r="J363" s="787"/>
      <c r="K363" s="787"/>
      <c r="L363" s="788"/>
      <c r="M363" s="293"/>
      <c r="N363" s="786" t="s">
        <v>507</v>
      </c>
      <c r="O363" s="787"/>
      <c r="P363" s="787"/>
      <c r="Q363" s="788"/>
      <c r="R363" s="293"/>
      <c r="S363" s="786" t="s">
        <v>508</v>
      </c>
      <c r="T363" s="787"/>
      <c r="U363" s="787"/>
      <c r="V363" s="788"/>
      <c r="W363" s="293"/>
      <c r="X363" s="359"/>
      <c r="Y363" s="359"/>
      <c r="Z363" s="359"/>
      <c r="AA363" s="359"/>
      <c r="AB363" s="254"/>
      <c r="AC363" s="189"/>
    </row>
    <row r="364" spans="1:29" ht="27" customHeight="1">
      <c r="A364" s="464"/>
      <c r="B364" s="254"/>
      <c r="C364" s="254"/>
      <c r="D364" s="782" t="s">
        <v>509</v>
      </c>
      <c r="E364" s="783"/>
      <c r="F364" s="784"/>
      <c r="G364" s="785"/>
      <c r="H364" s="308"/>
      <c r="I364" s="782" t="s">
        <v>510</v>
      </c>
      <c r="J364" s="783"/>
      <c r="K364" s="784"/>
      <c r="L364" s="785"/>
      <c r="M364" s="308"/>
      <c r="N364" s="782" t="s">
        <v>511</v>
      </c>
      <c r="O364" s="783"/>
      <c r="P364" s="784"/>
      <c r="Q364" s="785"/>
      <c r="R364" s="308"/>
      <c r="S364" s="782" t="s">
        <v>512</v>
      </c>
      <c r="T364" s="783"/>
      <c r="U364" s="784"/>
      <c r="V364" s="785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>
      <c r="A365" s="464"/>
      <c r="B365" s="254"/>
      <c r="C365" s="254"/>
      <c r="D365" s="951">
        <v>40</v>
      </c>
      <c r="E365" s="952"/>
      <c r="F365" s="838">
        <v>0</v>
      </c>
      <c r="G365" s="839"/>
      <c r="H365" s="293"/>
      <c r="I365" s="951">
        <v>95</v>
      </c>
      <c r="J365" s="952"/>
      <c r="K365" s="838">
        <v>0</v>
      </c>
      <c r="L365" s="839"/>
      <c r="M365" s="293"/>
      <c r="N365" s="951">
        <v>40</v>
      </c>
      <c r="O365" s="952"/>
      <c r="P365" s="838">
        <v>0</v>
      </c>
      <c r="Q365" s="839"/>
      <c r="R365" s="293"/>
      <c r="S365" s="951">
        <v>115</v>
      </c>
      <c r="T365" s="952"/>
      <c r="U365" s="838">
        <v>0</v>
      </c>
      <c r="V365" s="839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>
      <c r="A367" s="477"/>
      <c r="B367" s="402"/>
      <c r="C367" s="402"/>
      <c r="D367" s="920" t="s">
        <v>111</v>
      </c>
      <c r="E367" s="920"/>
      <c r="F367" s="920"/>
      <c r="G367" s="920"/>
      <c r="H367" s="920"/>
      <c r="I367" s="920"/>
      <c r="J367" s="920"/>
      <c r="K367" s="920"/>
      <c r="L367" s="920"/>
      <c r="M367" s="920"/>
      <c r="N367" s="920"/>
      <c r="O367" s="920"/>
      <c r="P367" s="920"/>
      <c r="Q367" s="920"/>
      <c r="R367" s="920"/>
      <c r="S367" s="920"/>
      <c r="T367" s="920"/>
      <c r="U367" s="920"/>
      <c r="V367" s="920"/>
      <c r="W367" s="920"/>
      <c r="X367" s="920"/>
      <c r="Y367" s="920"/>
      <c r="Z367" s="920"/>
      <c r="AA367" s="920"/>
      <c r="AB367" s="402"/>
      <c r="AC367" s="426"/>
    </row>
    <row r="368" spans="1:29" s="202" customFormat="1" ht="19.899999999999999" customHeight="1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>
      <c r="A369" s="464"/>
      <c r="B369" s="254"/>
      <c r="C369" s="254"/>
      <c r="D369" s="779"/>
      <c r="E369" s="780"/>
      <c r="F369" s="780"/>
      <c r="G369" s="781"/>
      <c r="H369" s="293"/>
      <c r="I369" s="779"/>
      <c r="J369" s="780"/>
      <c r="K369" s="780"/>
      <c r="L369" s="781"/>
      <c r="M369" s="293"/>
      <c r="N369" s="802"/>
      <c r="O369" s="803"/>
      <c r="P369" s="803"/>
      <c r="Q369" s="804"/>
      <c r="R369" s="293"/>
      <c r="S369" s="802"/>
      <c r="T369" s="803"/>
      <c r="U369" s="803"/>
      <c r="V369" s="804"/>
      <c r="W369" s="290"/>
      <c r="X369" s="946"/>
      <c r="Y369" s="946"/>
      <c r="Z369" s="946"/>
      <c r="AA369" s="946"/>
      <c r="AB369" s="254"/>
    </row>
    <row r="370" spans="1:29" ht="14.25">
      <c r="A370" s="464"/>
      <c r="B370" s="254"/>
      <c r="C370" s="254"/>
      <c r="D370" s="796"/>
      <c r="E370" s="797"/>
      <c r="F370" s="797"/>
      <c r="G370" s="798"/>
      <c r="H370" s="293"/>
      <c r="I370" s="796"/>
      <c r="J370" s="797"/>
      <c r="K370" s="797"/>
      <c r="L370" s="798"/>
      <c r="M370" s="293"/>
      <c r="N370" s="796"/>
      <c r="O370" s="797"/>
      <c r="P370" s="797"/>
      <c r="Q370" s="798"/>
      <c r="R370" s="293"/>
      <c r="S370" s="796"/>
      <c r="T370" s="797"/>
      <c r="U370" s="797"/>
      <c r="V370" s="798"/>
      <c r="W370" s="290"/>
      <c r="X370" s="946"/>
      <c r="Y370" s="946"/>
      <c r="Z370" s="946"/>
      <c r="AA370" s="946"/>
      <c r="AB370" s="254"/>
    </row>
    <row r="371" spans="1:29" ht="14.25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>
      <c r="A372" s="464"/>
      <c r="B372" s="254"/>
      <c r="C372" s="254"/>
      <c r="D372" s="796"/>
      <c r="E372" s="797"/>
      <c r="F372" s="797"/>
      <c r="G372" s="798"/>
      <c r="H372" s="293"/>
      <c r="I372" s="796"/>
      <c r="J372" s="797"/>
      <c r="K372" s="797"/>
      <c r="L372" s="798"/>
      <c r="M372" s="293"/>
      <c r="N372" s="796"/>
      <c r="O372" s="797"/>
      <c r="P372" s="797"/>
      <c r="Q372" s="798"/>
      <c r="R372" s="293"/>
      <c r="S372" s="796"/>
      <c r="T372" s="797"/>
      <c r="U372" s="797"/>
      <c r="V372" s="798"/>
      <c r="W372" s="290"/>
      <c r="X372" s="946"/>
      <c r="Y372" s="946"/>
      <c r="Z372" s="946"/>
      <c r="AA372" s="946"/>
      <c r="AB372" s="254"/>
    </row>
    <row r="373" spans="1:29" ht="14.25">
      <c r="A373" s="464"/>
      <c r="B373" s="254"/>
      <c r="C373" s="254"/>
      <c r="D373" s="796"/>
      <c r="E373" s="797"/>
      <c r="F373" s="797"/>
      <c r="G373" s="798"/>
      <c r="H373" s="293"/>
      <c r="I373" s="796"/>
      <c r="J373" s="797"/>
      <c r="K373" s="797"/>
      <c r="L373" s="798"/>
      <c r="M373" s="293"/>
      <c r="N373" s="796"/>
      <c r="O373" s="797"/>
      <c r="P373" s="797"/>
      <c r="Q373" s="798"/>
      <c r="R373" s="293"/>
      <c r="S373" s="796"/>
      <c r="T373" s="797"/>
      <c r="U373" s="797"/>
      <c r="V373" s="798"/>
      <c r="W373" s="290"/>
      <c r="X373" s="946"/>
      <c r="Y373" s="946"/>
      <c r="Z373" s="946"/>
      <c r="AA373" s="946"/>
      <c r="AB373" s="254"/>
    </row>
    <row r="374" spans="1:29" s="200" customFormat="1" ht="14.25">
      <c r="A374" s="473"/>
      <c r="B374" s="254"/>
      <c r="C374" s="254"/>
      <c r="D374" s="799"/>
      <c r="E374" s="800"/>
      <c r="F374" s="800"/>
      <c r="G374" s="801"/>
      <c r="H374" s="293"/>
      <c r="I374" s="799"/>
      <c r="J374" s="800"/>
      <c r="K374" s="800"/>
      <c r="L374" s="801"/>
      <c r="M374" s="293"/>
      <c r="N374" s="799"/>
      <c r="O374" s="800"/>
      <c r="P374" s="800"/>
      <c r="Q374" s="801"/>
      <c r="R374" s="293"/>
      <c r="S374" s="799"/>
      <c r="T374" s="800"/>
      <c r="U374" s="800"/>
      <c r="V374" s="801"/>
      <c r="W374" s="290"/>
      <c r="X374" s="946"/>
      <c r="Y374" s="946"/>
      <c r="Z374" s="946"/>
      <c r="AA374" s="946"/>
      <c r="AB374" s="254"/>
      <c r="AC374" s="422"/>
    </row>
    <row r="375" spans="1:29" ht="15">
      <c r="A375" s="464"/>
      <c r="B375" s="254"/>
      <c r="C375" s="254"/>
      <c r="D375" s="786" t="s">
        <v>193</v>
      </c>
      <c r="E375" s="787"/>
      <c r="F375" s="787"/>
      <c r="G375" s="788"/>
      <c r="H375" s="293"/>
      <c r="I375" s="786" t="s">
        <v>194</v>
      </c>
      <c r="J375" s="787"/>
      <c r="K375" s="787"/>
      <c r="L375" s="788"/>
      <c r="M375" s="293"/>
      <c r="N375" s="786" t="s">
        <v>526</v>
      </c>
      <c r="O375" s="787"/>
      <c r="P375" s="787"/>
      <c r="Q375" s="788"/>
      <c r="R375" s="293"/>
      <c r="S375" s="786" t="s">
        <v>529</v>
      </c>
      <c r="T375" s="787"/>
      <c r="U375" s="787"/>
      <c r="V375" s="788"/>
      <c r="W375" s="290"/>
      <c r="X375" s="947"/>
      <c r="Y375" s="947"/>
      <c r="Z375" s="947"/>
      <c r="AA375" s="947"/>
      <c r="AB375" s="254"/>
    </row>
    <row r="376" spans="1:29" s="193" customFormat="1" ht="27" customHeight="1">
      <c r="A376" s="467"/>
      <c r="B376" s="259"/>
      <c r="C376" s="259"/>
      <c r="D376" s="782" t="s">
        <v>405</v>
      </c>
      <c r="E376" s="783"/>
      <c r="F376" s="784"/>
      <c r="G376" s="785"/>
      <c r="H376" s="308"/>
      <c r="I376" s="782" t="s">
        <v>504</v>
      </c>
      <c r="J376" s="783"/>
      <c r="K376" s="784"/>
      <c r="L376" s="785"/>
      <c r="M376" s="308"/>
      <c r="N376" s="782" t="s">
        <v>527</v>
      </c>
      <c r="O376" s="783"/>
      <c r="P376" s="784"/>
      <c r="Q376" s="785"/>
      <c r="R376" s="308"/>
      <c r="S376" s="782" t="s">
        <v>528</v>
      </c>
      <c r="T376" s="783"/>
      <c r="U376" s="784"/>
      <c r="V376" s="785"/>
      <c r="W376" s="308"/>
      <c r="X376" s="948"/>
      <c r="Y376" s="948"/>
      <c r="Z376" s="948"/>
      <c r="AA376" s="948"/>
      <c r="AB376" s="259"/>
      <c r="AC376" s="397"/>
    </row>
    <row r="377" spans="1:29" ht="16.149999999999999" customHeight="1">
      <c r="A377" s="464"/>
      <c r="B377" s="254"/>
      <c r="C377" s="254"/>
      <c r="D377" s="905">
        <v>170</v>
      </c>
      <c r="E377" s="906"/>
      <c r="F377" s="838">
        <v>2</v>
      </c>
      <c r="G377" s="839"/>
      <c r="H377" s="293"/>
      <c r="I377" s="847">
        <v>100</v>
      </c>
      <c r="J377" s="848"/>
      <c r="K377" s="838">
        <v>2</v>
      </c>
      <c r="L377" s="839"/>
      <c r="M377" s="293"/>
      <c r="N377" s="847">
        <v>160</v>
      </c>
      <c r="O377" s="848"/>
      <c r="P377" s="838">
        <v>0</v>
      </c>
      <c r="Q377" s="839"/>
      <c r="R377" s="293"/>
      <c r="S377" s="847">
        <v>90</v>
      </c>
      <c r="T377" s="848"/>
      <c r="U377" s="838">
        <v>0</v>
      </c>
      <c r="V377" s="839"/>
      <c r="W377" s="290"/>
      <c r="X377" s="950"/>
      <c r="Y377" s="950"/>
      <c r="Z377" s="840"/>
      <c r="AA377" s="840"/>
      <c r="AB377" s="254"/>
    </row>
    <row r="378" spans="1:29" ht="27" customHeight="1" thickBot="1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>
      <c r="A379" s="478"/>
      <c r="B379" s="269"/>
      <c r="C379" s="269"/>
      <c r="D379" s="920" t="s">
        <v>109</v>
      </c>
      <c r="E379" s="920"/>
      <c r="F379" s="920"/>
      <c r="G379" s="920"/>
      <c r="H379" s="920"/>
      <c r="I379" s="920"/>
      <c r="J379" s="920"/>
      <c r="K379" s="920"/>
      <c r="L379" s="920"/>
      <c r="M379" s="920"/>
      <c r="N379" s="920"/>
      <c r="O379" s="920"/>
      <c r="P379" s="920"/>
      <c r="Q379" s="920"/>
      <c r="R379" s="920"/>
      <c r="S379" s="920"/>
      <c r="T379" s="920"/>
      <c r="U379" s="920"/>
      <c r="V379" s="920"/>
      <c r="W379" s="920"/>
      <c r="X379" s="920"/>
      <c r="Y379" s="920"/>
      <c r="Z379" s="920"/>
      <c r="AA379" s="920"/>
      <c r="AB379" s="269"/>
      <c r="AC379" s="427"/>
    </row>
    <row r="380" spans="1:29" s="202" customFormat="1" ht="20.65" customHeight="1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>
      <c r="A381" s="464"/>
      <c r="B381" s="1130" t="s">
        <v>237</v>
      </c>
      <c r="C381" s="265"/>
      <c r="D381" s="802"/>
      <c r="E381" s="803"/>
      <c r="F381" s="803"/>
      <c r="G381" s="804"/>
      <c r="H381" s="293"/>
      <c r="I381" s="802"/>
      <c r="J381" s="803"/>
      <c r="K381" s="803"/>
      <c r="L381" s="804"/>
      <c r="M381" s="293"/>
      <c r="N381" s="779"/>
      <c r="O381" s="780"/>
      <c r="P381" s="780"/>
      <c r="Q381" s="781"/>
      <c r="R381" s="293"/>
      <c r="S381" s="802"/>
      <c r="T381" s="803"/>
      <c r="U381" s="803"/>
      <c r="V381" s="804"/>
      <c r="W381" s="293"/>
      <c r="X381" s="802"/>
      <c r="Y381" s="803"/>
      <c r="Z381" s="803"/>
      <c r="AA381" s="804"/>
      <c r="AB381" s="254"/>
    </row>
    <row r="382" spans="1:29" ht="14.25">
      <c r="A382" s="464"/>
      <c r="B382" s="1130"/>
      <c r="C382" s="265"/>
      <c r="D382" s="796"/>
      <c r="E382" s="797"/>
      <c r="F382" s="797"/>
      <c r="G382" s="798"/>
      <c r="H382" s="293"/>
      <c r="I382" s="796"/>
      <c r="J382" s="797"/>
      <c r="K382" s="797"/>
      <c r="L382" s="798"/>
      <c r="M382" s="293"/>
      <c r="N382" s="776"/>
      <c r="O382" s="777"/>
      <c r="P382" s="777"/>
      <c r="Q382" s="778"/>
      <c r="R382" s="293"/>
      <c r="S382" s="796"/>
      <c r="T382" s="797"/>
      <c r="U382" s="797"/>
      <c r="V382" s="798"/>
      <c r="W382" s="293"/>
      <c r="X382" s="796"/>
      <c r="Y382" s="797"/>
      <c r="Z382" s="797"/>
      <c r="AA382" s="798"/>
      <c r="AB382" s="254"/>
    </row>
    <row r="383" spans="1:29" ht="14.25">
      <c r="A383" s="464"/>
      <c r="B383" s="1130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>
      <c r="A384" s="464"/>
      <c r="B384" s="1130"/>
      <c r="C384" s="265"/>
      <c r="D384" s="796"/>
      <c r="E384" s="797"/>
      <c r="F384" s="797"/>
      <c r="G384" s="798"/>
      <c r="H384" s="293"/>
      <c r="I384" s="796"/>
      <c r="J384" s="797"/>
      <c r="K384" s="797"/>
      <c r="L384" s="798"/>
      <c r="M384" s="293"/>
      <c r="N384" s="776"/>
      <c r="O384" s="777"/>
      <c r="P384" s="777"/>
      <c r="Q384" s="778"/>
      <c r="R384" s="293"/>
      <c r="S384" s="796"/>
      <c r="T384" s="797"/>
      <c r="U384" s="797"/>
      <c r="V384" s="798"/>
      <c r="W384" s="293"/>
      <c r="X384" s="796"/>
      <c r="Y384" s="797"/>
      <c r="Z384" s="797"/>
      <c r="AA384" s="798"/>
      <c r="AB384" s="254"/>
    </row>
    <row r="385" spans="1:29" ht="14.25">
      <c r="A385" s="464"/>
      <c r="B385" s="1130"/>
      <c r="C385" s="265"/>
      <c r="D385" s="796"/>
      <c r="E385" s="797"/>
      <c r="F385" s="797"/>
      <c r="G385" s="798"/>
      <c r="H385" s="293"/>
      <c r="I385" s="796"/>
      <c r="J385" s="797"/>
      <c r="K385" s="797"/>
      <c r="L385" s="798"/>
      <c r="M385" s="293"/>
      <c r="N385" s="776"/>
      <c r="O385" s="777"/>
      <c r="P385" s="777"/>
      <c r="Q385" s="778"/>
      <c r="R385" s="293"/>
      <c r="S385" s="796"/>
      <c r="T385" s="797"/>
      <c r="U385" s="797"/>
      <c r="V385" s="798"/>
      <c r="W385" s="293"/>
      <c r="X385" s="796"/>
      <c r="Y385" s="797"/>
      <c r="Z385" s="797"/>
      <c r="AA385" s="798"/>
      <c r="AB385" s="254"/>
    </row>
    <row r="386" spans="1:29" ht="14.25">
      <c r="A386" s="464"/>
      <c r="B386" s="1130"/>
      <c r="C386" s="265"/>
      <c r="D386" s="796"/>
      <c r="E386" s="797"/>
      <c r="F386" s="797"/>
      <c r="G386" s="798"/>
      <c r="H386" s="293"/>
      <c r="I386" s="796"/>
      <c r="J386" s="797"/>
      <c r="K386" s="797"/>
      <c r="L386" s="798"/>
      <c r="M386" s="293"/>
      <c r="N386" s="776"/>
      <c r="O386" s="777"/>
      <c r="P386" s="777"/>
      <c r="Q386" s="778"/>
      <c r="R386" s="293"/>
      <c r="S386" s="796"/>
      <c r="T386" s="797"/>
      <c r="U386" s="797"/>
      <c r="V386" s="798"/>
      <c r="W386" s="293"/>
      <c r="X386" s="796"/>
      <c r="Y386" s="797"/>
      <c r="Z386" s="797"/>
      <c r="AA386" s="798"/>
      <c r="AB386" s="254"/>
    </row>
    <row r="387" spans="1:29" ht="15">
      <c r="A387" s="464"/>
      <c r="B387" s="1130"/>
      <c r="C387" s="265"/>
      <c r="D387" s="786" t="s">
        <v>229</v>
      </c>
      <c r="E387" s="787"/>
      <c r="F387" s="787"/>
      <c r="G387" s="788"/>
      <c r="H387" s="293"/>
      <c r="I387" s="786" t="s">
        <v>214</v>
      </c>
      <c r="J387" s="787"/>
      <c r="K387" s="787"/>
      <c r="L387" s="788"/>
      <c r="M387" s="293"/>
      <c r="N387" s="786" t="s">
        <v>231</v>
      </c>
      <c r="O387" s="787"/>
      <c r="P387" s="787"/>
      <c r="Q387" s="788"/>
      <c r="R387" s="293"/>
      <c r="S387" s="786" t="s">
        <v>565</v>
      </c>
      <c r="T387" s="787"/>
      <c r="U387" s="787"/>
      <c r="V387" s="788"/>
      <c r="W387" s="293"/>
      <c r="X387" s="786" t="s">
        <v>877</v>
      </c>
      <c r="Y387" s="787"/>
      <c r="Z387" s="787"/>
      <c r="AA387" s="788"/>
      <c r="AB387" s="254"/>
    </row>
    <row r="388" spans="1:29" s="204" customFormat="1" ht="27" customHeight="1">
      <c r="A388" s="479"/>
      <c r="B388" s="1130"/>
      <c r="C388" s="265"/>
      <c r="D388" s="782" t="s">
        <v>612</v>
      </c>
      <c r="E388" s="783"/>
      <c r="F388" s="784"/>
      <c r="G388" s="785"/>
      <c r="H388" s="308"/>
      <c r="I388" s="782" t="s">
        <v>613</v>
      </c>
      <c r="J388" s="783"/>
      <c r="K388" s="784"/>
      <c r="L388" s="785"/>
      <c r="M388" s="308"/>
      <c r="N388" s="782" t="s">
        <v>614</v>
      </c>
      <c r="O388" s="783"/>
      <c r="P388" s="784"/>
      <c r="Q388" s="785"/>
      <c r="R388" s="308"/>
      <c r="S388" s="782" t="s">
        <v>615</v>
      </c>
      <c r="T388" s="783"/>
      <c r="U388" s="784"/>
      <c r="V388" s="785"/>
      <c r="W388" s="308"/>
      <c r="X388" s="782" t="s">
        <v>937</v>
      </c>
      <c r="Y388" s="783"/>
      <c r="Z388" s="784"/>
      <c r="AA388" s="785"/>
      <c r="AB388" s="262"/>
      <c r="AC388" s="428"/>
    </row>
    <row r="389" spans="1:29" s="193" customFormat="1" ht="16.149999999999999" customHeight="1">
      <c r="A389" s="467"/>
      <c r="B389" s="1130"/>
      <c r="C389" s="265"/>
      <c r="D389" s="847">
        <v>7.0000000000000007E-2</v>
      </c>
      <c r="E389" s="848"/>
      <c r="F389" s="838">
        <v>158</v>
      </c>
      <c r="G389" s="839"/>
      <c r="H389" s="293"/>
      <c r="I389" s="847">
        <v>0.06</v>
      </c>
      <c r="J389" s="848"/>
      <c r="K389" s="838">
        <v>160</v>
      </c>
      <c r="L389" s="839"/>
      <c r="M389" s="293"/>
      <c r="N389" s="847">
        <v>7.0000000000000007E-2</v>
      </c>
      <c r="O389" s="848"/>
      <c r="P389" s="838">
        <v>2</v>
      </c>
      <c r="Q389" s="839"/>
      <c r="R389" s="293"/>
      <c r="S389" s="847">
        <v>0.1</v>
      </c>
      <c r="T389" s="848"/>
      <c r="U389" s="838">
        <v>0</v>
      </c>
      <c r="V389" s="839"/>
      <c r="W389" s="293"/>
      <c r="X389" s="847">
        <v>4.25</v>
      </c>
      <c r="Y389" s="848"/>
      <c r="Z389" s="838">
        <v>0</v>
      </c>
      <c r="AA389" s="839"/>
      <c r="AB389" s="254"/>
      <c r="AC389" s="397"/>
    </row>
    <row r="390" spans="1:29" s="488" customFormat="1" ht="16.149999999999999" customHeight="1">
      <c r="A390" s="484"/>
      <c r="B390" s="1130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>
      <c r="A392" s="464"/>
      <c r="B392" s="1130" t="s">
        <v>459</v>
      </c>
      <c r="C392" s="266"/>
      <c r="D392" s="802"/>
      <c r="E392" s="803"/>
      <c r="F392" s="803"/>
      <c r="G392" s="804"/>
      <c r="H392" s="293"/>
      <c r="I392" s="802"/>
      <c r="J392" s="803"/>
      <c r="K392" s="803"/>
      <c r="L392" s="804"/>
      <c r="M392" s="293"/>
      <c r="N392" s="779"/>
      <c r="O392" s="780"/>
      <c r="P392" s="780"/>
      <c r="Q392" s="781"/>
      <c r="R392" s="293"/>
      <c r="S392" s="802"/>
      <c r="T392" s="803"/>
      <c r="U392" s="803"/>
      <c r="V392" s="804"/>
      <c r="W392" s="293"/>
      <c r="X392" s="323"/>
      <c r="Y392" s="324"/>
      <c r="Z392" s="325"/>
      <c r="AA392" s="326"/>
      <c r="AB392" s="254"/>
    </row>
    <row r="393" spans="1:29" ht="14.25">
      <c r="A393" s="464"/>
      <c r="B393" s="1130"/>
      <c r="C393" s="266"/>
      <c r="D393" s="796"/>
      <c r="E393" s="797"/>
      <c r="F393" s="797"/>
      <c r="G393" s="798"/>
      <c r="H393" s="293"/>
      <c r="I393" s="796"/>
      <c r="J393" s="797"/>
      <c r="K393" s="797"/>
      <c r="L393" s="798"/>
      <c r="M393" s="293"/>
      <c r="N393" s="810"/>
      <c r="O393" s="811"/>
      <c r="P393" s="811"/>
      <c r="Q393" s="812"/>
      <c r="R393" s="293"/>
      <c r="S393" s="796"/>
      <c r="T393" s="797"/>
      <c r="U393" s="797"/>
      <c r="V393" s="798"/>
      <c r="W393" s="293"/>
      <c r="X393" s="323"/>
      <c r="Y393" s="324"/>
      <c r="Z393" s="325"/>
      <c r="AA393" s="326"/>
      <c r="AB393" s="254"/>
    </row>
    <row r="394" spans="1:29" ht="14.25">
      <c r="A394" s="464"/>
      <c r="B394" s="1130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10"/>
      <c r="O394" s="811"/>
      <c r="P394" s="811"/>
      <c r="Q394" s="812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>
      <c r="A395" s="464"/>
      <c r="B395" s="1130"/>
      <c r="C395" s="266"/>
      <c r="D395" s="796"/>
      <c r="E395" s="797"/>
      <c r="F395" s="797"/>
      <c r="G395" s="798"/>
      <c r="H395" s="293"/>
      <c r="I395" s="796"/>
      <c r="J395" s="797"/>
      <c r="K395" s="797"/>
      <c r="L395" s="798"/>
      <c r="M395" s="293"/>
      <c r="N395" s="810"/>
      <c r="O395" s="811"/>
      <c r="P395" s="811"/>
      <c r="Q395" s="812"/>
      <c r="R395" s="293"/>
      <c r="S395" s="796"/>
      <c r="T395" s="797"/>
      <c r="U395" s="797"/>
      <c r="V395" s="798"/>
      <c r="W395" s="293"/>
      <c r="X395" s="323"/>
      <c r="Y395" s="324"/>
      <c r="Z395" s="325"/>
      <c r="AA395" s="326"/>
      <c r="AB395" s="254"/>
    </row>
    <row r="396" spans="1:29" ht="14.25">
      <c r="A396" s="464"/>
      <c r="B396" s="1130"/>
      <c r="C396" s="266"/>
      <c r="D396" s="796"/>
      <c r="E396" s="797"/>
      <c r="F396" s="797"/>
      <c r="G396" s="798"/>
      <c r="H396" s="293"/>
      <c r="I396" s="796"/>
      <c r="J396" s="797"/>
      <c r="K396" s="797"/>
      <c r="L396" s="798"/>
      <c r="M396" s="293"/>
      <c r="N396" s="810"/>
      <c r="O396" s="811"/>
      <c r="P396" s="811"/>
      <c r="Q396" s="812"/>
      <c r="R396" s="293"/>
      <c r="S396" s="796"/>
      <c r="T396" s="797"/>
      <c r="U396" s="797"/>
      <c r="V396" s="798"/>
      <c r="W396" s="293"/>
      <c r="X396" s="323"/>
      <c r="Y396" s="324"/>
      <c r="Z396" s="325"/>
      <c r="AA396" s="326"/>
      <c r="AB396" s="254"/>
    </row>
    <row r="397" spans="1:29" ht="14.25">
      <c r="A397" s="464"/>
      <c r="B397" s="1130"/>
      <c r="C397" s="266"/>
      <c r="D397" s="799"/>
      <c r="E397" s="800"/>
      <c r="F397" s="800"/>
      <c r="G397" s="801"/>
      <c r="H397" s="293"/>
      <c r="I397" s="799"/>
      <c r="J397" s="800"/>
      <c r="K397" s="800"/>
      <c r="L397" s="801"/>
      <c r="M397" s="293"/>
      <c r="N397" s="912"/>
      <c r="O397" s="913"/>
      <c r="P397" s="913"/>
      <c r="Q397" s="914"/>
      <c r="R397" s="293"/>
      <c r="S397" s="799"/>
      <c r="T397" s="800"/>
      <c r="U397" s="800"/>
      <c r="V397" s="801"/>
      <c r="W397" s="293"/>
      <c r="X397" s="323"/>
      <c r="Y397" s="324"/>
      <c r="Z397" s="325"/>
      <c r="AA397" s="326"/>
      <c r="AB397" s="254"/>
    </row>
    <row r="398" spans="1:29" ht="15">
      <c r="A398" s="464"/>
      <c r="B398" s="1130"/>
      <c r="C398" s="266"/>
      <c r="D398" s="786" t="s">
        <v>289</v>
      </c>
      <c r="E398" s="787"/>
      <c r="F398" s="787"/>
      <c r="G398" s="788"/>
      <c r="H398" s="293"/>
      <c r="I398" s="786" t="s">
        <v>290</v>
      </c>
      <c r="J398" s="787"/>
      <c r="K398" s="787"/>
      <c r="L398" s="788"/>
      <c r="M398" s="293"/>
      <c r="N398" s="786" t="s">
        <v>460</v>
      </c>
      <c r="O398" s="787"/>
      <c r="P398" s="787"/>
      <c r="Q398" s="788"/>
      <c r="R398" s="293"/>
      <c r="S398" s="786" t="s">
        <v>566</v>
      </c>
      <c r="T398" s="787"/>
      <c r="U398" s="787"/>
      <c r="V398" s="788"/>
      <c r="W398" s="293"/>
      <c r="X398" s="323"/>
      <c r="Y398" s="324"/>
      <c r="Z398" s="325"/>
      <c r="AA398" s="326"/>
      <c r="AB398" s="254"/>
    </row>
    <row r="399" spans="1:29" ht="27" customHeight="1">
      <c r="A399" s="464"/>
      <c r="B399" s="1130"/>
      <c r="C399" s="266"/>
      <c r="D399" s="782" t="s">
        <v>612</v>
      </c>
      <c r="E399" s="783"/>
      <c r="F399" s="784"/>
      <c r="G399" s="785"/>
      <c r="H399" s="308"/>
      <c r="I399" s="782" t="s">
        <v>613</v>
      </c>
      <c r="J399" s="783"/>
      <c r="K399" s="784"/>
      <c r="L399" s="785"/>
      <c r="M399" s="293"/>
      <c r="N399" s="782" t="s">
        <v>614</v>
      </c>
      <c r="O399" s="783"/>
      <c r="P399" s="784"/>
      <c r="Q399" s="785"/>
      <c r="R399" s="293"/>
      <c r="S399" s="782" t="s">
        <v>615</v>
      </c>
      <c r="T399" s="783"/>
      <c r="U399" s="784"/>
      <c r="V399" s="785"/>
      <c r="W399" s="293"/>
      <c r="X399" s="323"/>
      <c r="Y399" s="324"/>
      <c r="Z399" s="325"/>
      <c r="AA399" s="326"/>
      <c r="AB399" s="254"/>
    </row>
    <row r="400" spans="1:29" ht="16.149999999999999" customHeight="1">
      <c r="A400" s="464"/>
      <c r="B400" s="1130"/>
      <c r="C400" s="266"/>
      <c r="D400" s="847">
        <v>7.0000000000000007E-2</v>
      </c>
      <c r="E400" s="848"/>
      <c r="F400" s="838">
        <v>0</v>
      </c>
      <c r="G400" s="839"/>
      <c r="H400" s="293"/>
      <c r="I400" s="847">
        <v>0.06</v>
      </c>
      <c r="J400" s="848"/>
      <c r="K400" s="838">
        <v>0</v>
      </c>
      <c r="L400" s="839"/>
      <c r="M400" s="293"/>
      <c r="N400" s="847">
        <v>7.0000000000000007E-2</v>
      </c>
      <c r="O400" s="848"/>
      <c r="P400" s="838">
        <v>0</v>
      </c>
      <c r="Q400" s="839"/>
      <c r="R400" s="293"/>
      <c r="S400" s="847">
        <v>0.1</v>
      </c>
      <c r="T400" s="848"/>
      <c r="U400" s="838">
        <v>0</v>
      </c>
      <c r="V400" s="839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>
      <c r="A401" s="484"/>
      <c r="B401" s="1130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>
      <c r="A404" s="464"/>
      <c r="B404" s="1130" t="s">
        <v>238</v>
      </c>
      <c r="C404" s="265"/>
      <c r="D404" s="340"/>
      <c r="E404" s="341"/>
      <c r="F404" s="341"/>
      <c r="G404" s="342"/>
      <c r="H404" s="293"/>
      <c r="I404" s="802"/>
      <c r="J404" s="803"/>
      <c r="K404" s="803"/>
      <c r="L404" s="804"/>
      <c r="M404" s="293"/>
      <c r="N404" s="802"/>
      <c r="O404" s="803"/>
      <c r="P404" s="803"/>
      <c r="Q404" s="803"/>
      <c r="R404" s="343"/>
      <c r="S404" s="803"/>
      <c r="T404" s="803"/>
      <c r="U404" s="803"/>
      <c r="V404" s="804"/>
      <c r="W404" s="293"/>
      <c r="X404" s="846"/>
      <c r="Y404" s="846"/>
      <c r="Z404" s="846"/>
      <c r="AA404" s="846"/>
      <c r="AB404" s="254"/>
    </row>
    <row r="405" spans="1:29" ht="13.15" customHeight="1">
      <c r="A405" s="464"/>
      <c r="B405" s="1130"/>
      <c r="C405" s="265"/>
      <c r="D405" s="316"/>
      <c r="E405" s="317"/>
      <c r="F405" s="317"/>
      <c r="G405" s="318"/>
      <c r="H405" s="293"/>
      <c r="I405" s="796"/>
      <c r="J405" s="797"/>
      <c r="K405" s="797"/>
      <c r="L405" s="798"/>
      <c r="M405" s="293"/>
      <c r="N405" s="796"/>
      <c r="O405" s="797"/>
      <c r="P405" s="797"/>
      <c r="Q405" s="797"/>
      <c r="R405" s="343"/>
      <c r="S405" s="797"/>
      <c r="T405" s="797"/>
      <c r="U405" s="797"/>
      <c r="V405" s="798"/>
      <c r="W405" s="293"/>
      <c r="X405" s="846"/>
      <c r="Y405" s="846"/>
      <c r="Z405" s="846"/>
      <c r="AA405" s="846"/>
      <c r="AB405" s="254"/>
    </row>
    <row r="406" spans="1:29" ht="13.15" customHeight="1">
      <c r="A406" s="464"/>
      <c r="B406" s="1130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>
      <c r="A407" s="464"/>
      <c r="B407" s="1130"/>
      <c r="C407" s="265"/>
      <c r="D407" s="316"/>
      <c r="E407" s="317"/>
      <c r="F407" s="317"/>
      <c r="G407" s="318"/>
      <c r="H407" s="293"/>
      <c r="I407" s="796"/>
      <c r="J407" s="797"/>
      <c r="K407" s="797"/>
      <c r="L407" s="798"/>
      <c r="M407" s="293"/>
      <c r="N407" s="796"/>
      <c r="O407" s="797"/>
      <c r="P407" s="797"/>
      <c r="Q407" s="797"/>
      <c r="R407" s="343"/>
      <c r="S407" s="797"/>
      <c r="T407" s="797"/>
      <c r="U407" s="797"/>
      <c r="V407" s="798"/>
      <c r="W407" s="293"/>
      <c r="X407" s="846"/>
      <c r="Y407" s="846"/>
      <c r="Z407" s="846"/>
      <c r="AA407" s="846"/>
      <c r="AB407" s="254"/>
    </row>
    <row r="408" spans="1:29" ht="13.15" customHeight="1">
      <c r="A408" s="464"/>
      <c r="B408" s="1130"/>
      <c r="C408" s="265"/>
      <c r="D408" s="316"/>
      <c r="E408" s="317"/>
      <c r="F408" s="317"/>
      <c r="G408" s="318"/>
      <c r="H408" s="293"/>
      <c r="I408" s="796"/>
      <c r="J408" s="797"/>
      <c r="K408" s="797"/>
      <c r="L408" s="798"/>
      <c r="M408" s="293"/>
      <c r="N408" s="796"/>
      <c r="O408" s="797"/>
      <c r="P408" s="797"/>
      <c r="Q408" s="797"/>
      <c r="R408" s="343"/>
      <c r="S408" s="797"/>
      <c r="T408" s="797"/>
      <c r="U408" s="797"/>
      <c r="V408" s="798"/>
      <c r="W408" s="293"/>
      <c r="X408" s="846"/>
      <c r="Y408" s="846"/>
      <c r="Z408" s="846"/>
      <c r="AA408" s="846"/>
      <c r="AB408" s="254"/>
    </row>
    <row r="409" spans="1:29" ht="13.15" customHeight="1">
      <c r="A409" s="464"/>
      <c r="B409" s="1130"/>
      <c r="C409" s="265"/>
      <c r="D409" s="316"/>
      <c r="E409" s="317"/>
      <c r="F409" s="317"/>
      <c r="G409" s="318"/>
      <c r="H409" s="293"/>
      <c r="I409" s="796"/>
      <c r="J409" s="797"/>
      <c r="K409" s="797"/>
      <c r="L409" s="798"/>
      <c r="M409" s="293"/>
      <c r="N409" s="796"/>
      <c r="O409" s="797"/>
      <c r="P409" s="797"/>
      <c r="Q409" s="797"/>
      <c r="R409" s="343"/>
      <c r="S409" s="797"/>
      <c r="T409" s="797"/>
      <c r="U409" s="797"/>
      <c r="V409" s="798"/>
      <c r="W409" s="293"/>
      <c r="X409" s="846"/>
      <c r="Y409" s="846"/>
      <c r="Z409" s="846"/>
      <c r="AA409" s="846"/>
      <c r="AB409" s="254"/>
    </row>
    <row r="410" spans="1:29" ht="15">
      <c r="A410" s="464"/>
      <c r="B410" s="1130"/>
      <c r="C410" s="265"/>
      <c r="D410" s="786" t="s">
        <v>410</v>
      </c>
      <c r="E410" s="787"/>
      <c r="F410" s="787"/>
      <c r="G410" s="788"/>
      <c r="H410" s="293"/>
      <c r="I410" s="786" t="s">
        <v>411</v>
      </c>
      <c r="J410" s="787"/>
      <c r="K410" s="787"/>
      <c r="L410" s="788"/>
      <c r="M410" s="293"/>
      <c r="N410" s="786" t="s">
        <v>195</v>
      </c>
      <c r="O410" s="787"/>
      <c r="P410" s="787"/>
      <c r="Q410" s="788"/>
      <c r="R410" s="293"/>
      <c r="S410" s="786" t="s">
        <v>412</v>
      </c>
      <c r="T410" s="787"/>
      <c r="U410" s="787"/>
      <c r="V410" s="788"/>
      <c r="W410" s="293"/>
      <c r="X410" s="939"/>
      <c r="Y410" s="939"/>
      <c r="Z410" s="939"/>
      <c r="AA410" s="939"/>
      <c r="AB410" s="254"/>
    </row>
    <row r="411" spans="1:29" s="204" customFormat="1" ht="27" customHeight="1">
      <c r="A411" s="479"/>
      <c r="B411" s="1130"/>
      <c r="C411" s="265"/>
      <c r="D411" s="908" t="s">
        <v>943</v>
      </c>
      <c r="E411" s="909"/>
      <c r="F411" s="910"/>
      <c r="G411" s="911"/>
      <c r="H411" s="308"/>
      <c r="I411" s="908" t="s">
        <v>944</v>
      </c>
      <c r="J411" s="909"/>
      <c r="K411" s="910"/>
      <c r="L411" s="911"/>
      <c r="M411" s="308"/>
      <c r="N411" s="908" t="s">
        <v>945</v>
      </c>
      <c r="O411" s="909"/>
      <c r="P411" s="910"/>
      <c r="Q411" s="911"/>
      <c r="R411" s="308"/>
      <c r="S411" s="782" t="s">
        <v>616</v>
      </c>
      <c r="T411" s="783"/>
      <c r="U411" s="784"/>
      <c r="V411" s="785"/>
      <c r="W411" s="308"/>
      <c r="X411" s="849"/>
      <c r="Y411" s="849"/>
      <c r="Z411" s="849"/>
      <c r="AA411" s="849"/>
      <c r="AB411" s="262"/>
      <c r="AC411" s="428"/>
    </row>
    <row r="412" spans="1:29" s="193" customFormat="1" ht="16.149999999999999" customHeight="1">
      <c r="A412" s="467"/>
      <c r="B412" s="1130"/>
      <c r="C412" s="265"/>
      <c r="D412" s="847">
        <v>0.04</v>
      </c>
      <c r="E412" s="907"/>
      <c r="F412" s="838">
        <v>200</v>
      </c>
      <c r="G412" s="839"/>
      <c r="H412" s="293"/>
      <c r="I412" s="847">
        <v>0.04</v>
      </c>
      <c r="J412" s="848"/>
      <c r="K412" s="838">
        <v>100</v>
      </c>
      <c r="L412" s="839"/>
      <c r="M412" s="293"/>
      <c r="N412" s="847">
        <v>0.04</v>
      </c>
      <c r="O412" s="848"/>
      <c r="P412" s="838">
        <v>200</v>
      </c>
      <c r="Q412" s="839"/>
      <c r="R412" s="293"/>
      <c r="S412" s="847">
        <v>1</v>
      </c>
      <c r="T412" s="848"/>
      <c r="U412" s="838">
        <v>0</v>
      </c>
      <c r="V412" s="839"/>
      <c r="W412" s="293"/>
      <c r="X412" s="915"/>
      <c r="Y412" s="915"/>
      <c r="Z412" s="894"/>
      <c r="AA412" s="894"/>
      <c r="AB412" s="254"/>
      <c r="AC412" s="397"/>
    </row>
    <row r="413" spans="1:29" s="488" customFormat="1" ht="14.25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>
      <c r="A415" s="464"/>
      <c r="B415" s="1130" t="s">
        <v>465</v>
      </c>
      <c r="C415" s="265"/>
      <c r="D415" s="779"/>
      <c r="E415" s="780"/>
      <c r="F415" s="780"/>
      <c r="G415" s="781"/>
      <c r="H415" s="293"/>
      <c r="I415" s="779"/>
      <c r="J415" s="780"/>
      <c r="K415" s="780"/>
      <c r="L415" s="781"/>
      <c r="M415" s="293"/>
      <c r="N415" s="802"/>
      <c r="O415" s="803"/>
      <c r="P415" s="803"/>
      <c r="Q415" s="804"/>
      <c r="R415" s="293"/>
      <c r="S415" s="779"/>
      <c r="T415" s="780"/>
      <c r="U415" s="780"/>
      <c r="V415" s="781"/>
      <c r="W415" s="293"/>
      <c r="X415" s="779"/>
      <c r="Y415" s="780"/>
      <c r="Z415" s="780"/>
      <c r="AA415" s="781"/>
      <c r="AB415" s="254"/>
    </row>
    <row r="416" spans="1:29" ht="14.25">
      <c r="A416" s="464"/>
      <c r="B416" s="1130"/>
      <c r="C416" s="265"/>
      <c r="D416" s="776"/>
      <c r="E416" s="777"/>
      <c r="F416" s="777"/>
      <c r="G416" s="778"/>
      <c r="H416" s="293"/>
      <c r="I416" s="776"/>
      <c r="J416" s="777"/>
      <c r="K416" s="777"/>
      <c r="L416" s="778"/>
      <c r="M416" s="293"/>
      <c r="N416" s="796"/>
      <c r="O416" s="797"/>
      <c r="P416" s="797"/>
      <c r="Q416" s="798"/>
      <c r="R416" s="293"/>
      <c r="S416" s="810"/>
      <c r="T416" s="811"/>
      <c r="U416" s="811"/>
      <c r="V416" s="812"/>
      <c r="W416" s="293"/>
      <c r="X416" s="810"/>
      <c r="Y416" s="811"/>
      <c r="Z416" s="811"/>
      <c r="AA416" s="812"/>
      <c r="AB416" s="254"/>
    </row>
    <row r="417" spans="1:31" ht="14.25">
      <c r="A417" s="464"/>
      <c r="B417" s="1130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10"/>
      <c r="T417" s="811"/>
      <c r="U417" s="811"/>
      <c r="V417" s="812"/>
      <c r="W417" s="293"/>
      <c r="X417" s="810"/>
      <c r="Y417" s="811"/>
      <c r="Z417" s="811"/>
      <c r="AA417" s="812"/>
      <c r="AB417" s="254"/>
    </row>
    <row r="418" spans="1:31" ht="14.25">
      <c r="A418" s="464"/>
      <c r="B418" s="1130"/>
      <c r="C418" s="265"/>
      <c r="D418" s="776"/>
      <c r="E418" s="777"/>
      <c r="F418" s="777"/>
      <c r="G418" s="778"/>
      <c r="H418" s="293"/>
      <c r="I418" s="776"/>
      <c r="J418" s="777"/>
      <c r="K418" s="777"/>
      <c r="L418" s="778"/>
      <c r="M418" s="293"/>
      <c r="N418" s="796"/>
      <c r="O418" s="797"/>
      <c r="P418" s="797"/>
      <c r="Q418" s="798"/>
      <c r="R418" s="293"/>
      <c r="S418" s="810"/>
      <c r="T418" s="811"/>
      <c r="U418" s="811"/>
      <c r="V418" s="812"/>
      <c r="W418" s="293"/>
      <c r="X418" s="810"/>
      <c r="Y418" s="811"/>
      <c r="Z418" s="811"/>
      <c r="AA418" s="812"/>
      <c r="AB418" s="254"/>
    </row>
    <row r="419" spans="1:31" ht="14.25">
      <c r="A419" s="464"/>
      <c r="B419" s="1130"/>
      <c r="C419" s="265"/>
      <c r="D419" s="776"/>
      <c r="E419" s="777"/>
      <c r="F419" s="777"/>
      <c r="G419" s="778"/>
      <c r="H419" s="293"/>
      <c r="I419" s="776"/>
      <c r="J419" s="777"/>
      <c r="K419" s="777"/>
      <c r="L419" s="778"/>
      <c r="M419" s="293"/>
      <c r="N419" s="796"/>
      <c r="O419" s="797"/>
      <c r="P419" s="797"/>
      <c r="Q419" s="798"/>
      <c r="R419" s="293"/>
      <c r="S419" s="810"/>
      <c r="T419" s="811"/>
      <c r="U419" s="811"/>
      <c r="V419" s="812"/>
      <c r="W419" s="293"/>
      <c r="X419" s="810"/>
      <c r="Y419" s="811"/>
      <c r="Z419" s="811"/>
      <c r="AA419" s="812"/>
      <c r="AB419" s="254"/>
    </row>
    <row r="420" spans="1:31" ht="14.25">
      <c r="A420" s="464"/>
      <c r="B420" s="1130"/>
      <c r="C420" s="265"/>
      <c r="D420" s="773"/>
      <c r="E420" s="774"/>
      <c r="F420" s="774"/>
      <c r="G420" s="775"/>
      <c r="H420" s="293"/>
      <c r="I420" s="773"/>
      <c r="J420" s="774"/>
      <c r="K420" s="774"/>
      <c r="L420" s="775"/>
      <c r="M420" s="293"/>
      <c r="N420" s="799"/>
      <c r="O420" s="800"/>
      <c r="P420" s="800"/>
      <c r="Q420" s="801"/>
      <c r="R420" s="293"/>
      <c r="S420" s="912"/>
      <c r="T420" s="913"/>
      <c r="U420" s="913"/>
      <c r="V420" s="914"/>
      <c r="W420" s="293"/>
      <c r="X420" s="912"/>
      <c r="Y420" s="913"/>
      <c r="Z420" s="913"/>
      <c r="AA420" s="914"/>
      <c r="AB420" s="254"/>
      <c r="AE420" s="189">
        <v>100</v>
      </c>
    </row>
    <row r="421" spans="1:31" ht="15">
      <c r="A421" s="464"/>
      <c r="B421" s="1130"/>
      <c r="C421" s="265"/>
      <c r="D421" s="826" t="s">
        <v>232</v>
      </c>
      <c r="E421" s="827"/>
      <c r="F421" s="827"/>
      <c r="G421" s="828"/>
      <c r="H421" s="293"/>
      <c r="I421" s="826" t="s">
        <v>235</v>
      </c>
      <c r="J421" s="827"/>
      <c r="K421" s="827"/>
      <c r="L421" s="828"/>
      <c r="M421" s="293"/>
      <c r="N421" s="786" t="s">
        <v>377</v>
      </c>
      <c r="O421" s="787"/>
      <c r="P421" s="787"/>
      <c r="Q421" s="788"/>
      <c r="R421" s="293"/>
      <c r="S421" s="786" t="s">
        <v>451</v>
      </c>
      <c r="T421" s="787"/>
      <c r="U421" s="787"/>
      <c r="V421" s="788"/>
      <c r="W421" s="293"/>
      <c r="X421" s="786" t="s">
        <v>450</v>
      </c>
      <c r="Y421" s="787"/>
      <c r="Z421" s="787"/>
      <c r="AA421" s="788"/>
      <c r="AB421" s="254"/>
      <c r="AE421" s="189">
        <v>200</v>
      </c>
    </row>
    <row r="422" spans="1:31" ht="27" customHeight="1">
      <c r="A422" s="464"/>
      <c r="B422" s="1130"/>
      <c r="C422" s="265"/>
      <c r="D422" s="782" t="s">
        <v>617</v>
      </c>
      <c r="E422" s="783"/>
      <c r="F422" s="784"/>
      <c r="G422" s="785"/>
      <c r="H422" s="308"/>
      <c r="I422" s="782" t="s">
        <v>618</v>
      </c>
      <c r="J422" s="783"/>
      <c r="K422" s="784"/>
      <c r="L422" s="785"/>
      <c r="M422" s="308"/>
      <c r="N422" s="782" t="s">
        <v>776</v>
      </c>
      <c r="O422" s="783"/>
      <c r="P422" s="784"/>
      <c r="Q422" s="785"/>
      <c r="R422" s="293"/>
      <c r="S422" s="782" t="s">
        <v>619</v>
      </c>
      <c r="T422" s="783"/>
      <c r="U422" s="784"/>
      <c r="V422" s="785"/>
      <c r="W422" s="293"/>
      <c r="X422" s="782" t="s">
        <v>620</v>
      </c>
      <c r="Y422" s="783"/>
      <c r="Z422" s="784"/>
      <c r="AA422" s="785"/>
      <c r="AB422" s="262"/>
      <c r="AE422" s="189">
        <v>300</v>
      </c>
    </row>
    <row r="423" spans="1:31" ht="16.149999999999999" customHeight="1">
      <c r="A423" s="464"/>
      <c r="B423" s="1130"/>
      <c r="C423" s="265"/>
      <c r="D423" s="905">
        <v>0.8</v>
      </c>
      <c r="E423" s="906"/>
      <c r="F423" s="838">
        <v>8</v>
      </c>
      <c r="G423" s="839"/>
      <c r="H423" s="293"/>
      <c r="I423" s="905">
        <v>0.8</v>
      </c>
      <c r="J423" s="906"/>
      <c r="K423" s="838">
        <v>8</v>
      </c>
      <c r="L423" s="839"/>
      <c r="M423" s="293"/>
      <c r="N423" s="905">
        <v>1</v>
      </c>
      <c r="O423" s="906"/>
      <c r="P423" s="838">
        <v>0</v>
      </c>
      <c r="Q423" s="839"/>
      <c r="R423" s="293"/>
      <c r="S423" s="847">
        <v>18</v>
      </c>
      <c r="T423" s="848"/>
      <c r="U423" s="838">
        <v>0</v>
      </c>
      <c r="V423" s="839"/>
      <c r="W423" s="293"/>
      <c r="X423" s="847">
        <v>18</v>
      </c>
      <c r="Y423" s="848"/>
      <c r="Z423" s="838">
        <v>0</v>
      </c>
      <c r="AA423" s="839"/>
      <c r="AB423" s="254"/>
      <c r="AE423" s="189">
        <v>400</v>
      </c>
    </row>
    <row r="424" spans="1:31" s="488" customFormat="1" ht="16.149999999999999" customHeight="1">
      <c r="A424" s="484"/>
      <c r="B424" s="1130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>
      <c r="A425" s="464"/>
      <c r="B425" s="1130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>
      <c r="A426" s="464"/>
      <c r="B426" s="1130"/>
      <c r="C426" s="265"/>
      <c r="D426" s="802"/>
      <c r="E426" s="803"/>
      <c r="F426" s="803"/>
      <c r="G426" s="804"/>
      <c r="H426" s="293"/>
      <c r="I426" s="802"/>
      <c r="J426" s="803"/>
      <c r="K426" s="803"/>
      <c r="L426" s="804"/>
      <c r="M426" s="293"/>
      <c r="N426" s="802"/>
      <c r="O426" s="803"/>
      <c r="P426" s="803"/>
      <c r="Q426" s="804"/>
      <c r="R426" s="293"/>
      <c r="S426" s="802"/>
      <c r="T426" s="803"/>
      <c r="U426" s="803"/>
      <c r="V426" s="804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>
      <c r="A427" s="464"/>
      <c r="B427" s="1130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96"/>
      <c r="O427" s="797"/>
      <c r="P427" s="797"/>
      <c r="Q427" s="798"/>
      <c r="R427" s="293"/>
      <c r="S427" s="796"/>
      <c r="T427" s="797"/>
      <c r="U427" s="797"/>
      <c r="V427" s="798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>
      <c r="A428" s="464"/>
      <c r="B428" s="1130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>
      <c r="A429" s="464"/>
      <c r="B429" s="1130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96"/>
      <c r="O429" s="797"/>
      <c r="P429" s="797"/>
      <c r="Q429" s="798"/>
      <c r="R429" s="293"/>
      <c r="S429" s="796"/>
      <c r="T429" s="797"/>
      <c r="U429" s="797"/>
      <c r="V429" s="798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>
      <c r="A430" s="464"/>
      <c r="B430" s="1130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96"/>
      <c r="O430" s="797"/>
      <c r="P430" s="797"/>
      <c r="Q430" s="798"/>
      <c r="R430" s="293"/>
      <c r="S430" s="796"/>
      <c r="T430" s="797"/>
      <c r="U430" s="797"/>
      <c r="V430" s="798"/>
      <c r="W430" s="293"/>
      <c r="X430" s="323"/>
      <c r="Y430" s="324"/>
      <c r="Z430" s="325"/>
      <c r="AA430" s="326"/>
      <c r="AB430" s="254"/>
    </row>
    <row r="431" spans="1:31" ht="14.25">
      <c r="A431" s="464"/>
      <c r="B431" s="1130"/>
      <c r="C431" s="265"/>
      <c r="D431" s="799"/>
      <c r="E431" s="800"/>
      <c r="F431" s="800"/>
      <c r="G431" s="801"/>
      <c r="H431" s="293"/>
      <c r="I431" s="799"/>
      <c r="J431" s="800"/>
      <c r="K431" s="800"/>
      <c r="L431" s="801"/>
      <c r="M431" s="293"/>
      <c r="N431" s="799"/>
      <c r="O431" s="800"/>
      <c r="P431" s="800"/>
      <c r="Q431" s="801"/>
      <c r="R431" s="293"/>
      <c r="S431" s="799"/>
      <c r="T431" s="800"/>
      <c r="U431" s="800"/>
      <c r="V431" s="801"/>
      <c r="W431" s="293"/>
      <c r="X431" s="323"/>
      <c r="Y431" s="324"/>
      <c r="Z431" s="325"/>
      <c r="AA431" s="326"/>
      <c r="AB431" s="254"/>
    </row>
    <row r="432" spans="1:31" ht="15">
      <c r="A432" s="464"/>
      <c r="B432" s="1130"/>
      <c r="C432" s="265"/>
      <c r="D432" s="786" t="s">
        <v>878</v>
      </c>
      <c r="E432" s="787"/>
      <c r="F432" s="787"/>
      <c r="G432" s="788"/>
      <c r="H432" s="293"/>
      <c r="I432" s="786" t="s">
        <v>879</v>
      </c>
      <c r="J432" s="787"/>
      <c r="K432" s="787"/>
      <c r="L432" s="788"/>
      <c r="M432" s="293"/>
      <c r="N432" s="786" t="s">
        <v>236</v>
      </c>
      <c r="O432" s="787"/>
      <c r="P432" s="787"/>
      <c r="Q432" s="788"/>
      <c r="R432" s="293"/>
      <c r="S432" s="786" t="s">
        <v>942</v>
      </c>
      <c r="T432" s="787"/>
      <c r="U432" s="787"/>
      <c r="V432" s="788"/>
      <c r="W432" s="293"/>
      <c r="X432" s="323"/>
      <c r="Y432" s="324"/>
      <c r="Z432" s="325"/>
      <c r="AA432" s="326"/>
      <c r="AB432" s="254"/>
    </row>
    <row r="433" spans="1:34" ht="27" customHeight="1">
      <c r="A433" s="464"/>
      <c r="B433" s="1130"/>
      <c r="C433" s="265"/>
      <c r="D433" s="782" t="s">
        <v>881</v>
      </c>
      <c r="E433" s="783"/>
      <c r="F433" s="784"/>
      <c r="G433" s="785"/>
      <c r="H433" s="293"/>
      <c r="I433" s="782" t="s">
        <v>882</v>
      </c>
      <c r="J433" s="783"/>
      <c r="K433" s="784"/>
      <c r="L433" s="785"/>
      <c r="M433" s="293"/>
      <c r="N433" s="782" t="s">
        <v>883</v>
      </c>
      <c r="O433" s="783"/>
      <c r="P433" s="784"/>
      <c r="Q433" s="785"/>
      <c r="R433" s="293"/>
      <c r="S433" s="782" t="s">
        <v>880</v>
      </c>
      <c r="T433" s="783"/>
      <c r="U433" s="784"/>
      <c r="V433" s="785"/>
      <c r="W433" s="293"/>
      <c r="X433" s="323"/>
      <c r="Y433" s="324"/>
      <c r="Z433" s="325"/>
      <c r="AA433" s="326"/>
      <c r="AB433" s="254"/>
    </row>
    <row r="434" spans="1:34" ht="16.149999999999999" customHeight="1">
      <c r="A434" s="464"/>
      <c r="B434" s="1130"/>
      <c r="C434" s="265"/>
      <c r="D434" s="847">
        <v>0.15</v>
      </c>
      <c r="E434" s="848"/>
      <c r="F434" s="838">
        <v>16</v>
      </c>
      <c r="G434" s="839"/>
      <c r="H434" s="293"/>
      <c r="I434" s="847">
        <v>0.15</v>
      </c>
      <c r="J434" s="848"/>
      <c r="K434" s="838">
        <v>0</v>
      </c>
      <c r="L434" s="839"/>
      <c r="M434" s="293"/>
      <c r="N434" s="847">
        <v>0.06</v>
      </c>
      <c r="O434" s="848"/>
      <c r="P434" s="838">
        <v>16</v>
      </c>
      <c r="Q434" s="839"/>
      <c r="R434" s="293"/>
      <c r="S434" s="847">
        <v>0.04</v>
      </c>
      <c r="T434" s="848"/>
      <c r="U434" s="838">
        <v>0</v>
      </c>
      <c r="V434" s="839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>
      <c r="A435" s="484"/>
      <c r="B435" s="1130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>
      <c r="A437" s="480"/>
      <c r="B437" s="279"/>
      <c r="C437" s="279"/>
      <c r="D437" s="920" t="s">
        <v>468</v>
      </c>
      <c r="E437" s="920"/>
      <c r="F437" s="920"/>
      <c r="G437" s="920"/>
      <c r="H437" s="920"/>
      <c r="I437" s="920"/>
      <c r="J437" s="920"/>
      <c r="K437" s="920"/>
      <c r="L437" s="920"/>
      <c r="M437" s="920"/>
      <c r="N437" s="920"/>
      <c r="O437" s="920"/>
      <c r="P437" s="920"/>
      <c r="Q437" s="920"/>
      <c r="R437" s="920"/>
      <c r="S437" s="920"/>
      <c r="T437" s="920"/>
      <c r="U437" s="920"/>
      <c r="V437" s="920"/>
      <c r="W437" s="920"/>
      <c r="X437" s="920"/>
      <c r="Y437" s="920"/>
      <c r="Z437" s="920"/>
      <c r="AA437" s="920"/>
      <c r="AB437" s="279"/>
      <c r="AC437" s="429"/>
    </row>
    <row r="438" spans="1:34" s="202" customFormat="1" ht="20.65" customHeight="1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>
      <c r="A439" s="464"/>
      <c r="B439" s="254"/>
      <c r="C439" s="254"/>
      <c r="D439" s="802"/>
      <c r="E439" s="803"/>
      <c r="F439" s="803"/>
      <c r="G439" s="804"/>
      <c r="H439" s="293"/>
      <c r="I439" s="779"/>
      <c r="J439" s="780"/>
      <c r="K439" s="780"/>
      <c r="L439" s="781"/>
      <c r="M439" s="293"/>
      <c r="N439" s="293"/>
      <c r="O439" s="293"/>
      <c r="P439" s="293"/>
      <c r="Q439" s="293"/>
      <c r="R439" s="293"/>
      <c r="S439" s="779"/>
      <c r="T439" s="780"/>
      <c r="U439" s="780"/>
      <c r="V439" s="781"/>
      <c r="W439" s="293"/>
      <c r="X439" s="846"/>
      <c r="Y439" s="846"/>
      <c r="Z439" s="846"/>
      <c r="AA439" s="846"/>
      <c r="AB439" s="254"/>
    </row>
    <row r="440" spans="1:34" ht="13.15" customHeight="1">
      <c r="A440" s="464"/>
      <c r="B440" s="254"/>
      <c r="C440" s="254"/>
      <c r="D440" s="796"/>
      <c r="E440" s="797"/>
      <c r="F440" s="797"/>
      <c r="G440" s="798"/>
      <c r="H440" s="293"/>
      <c r="I440" s="776"/>
      <c r="J440" s="777"/>
      <c r="K440" s="777"/>
      <c r="L440" s="778"/>
      <c r="M440" s="293"/>
      <c r="N440" s="293"/>
      <c r="O440" s="293"/>
      <c r="P440" s="293"/>
      <c r="Q440" s="293"/>
      <c r="R440" s="293"/>
      <c r="S440" s="776"/>
      <c r="T440" s="777"/>
      <c r="U440" s="777"/>
      <c r="V440" s="778"/>
      <c r="W440" s="293"/>
      <c r="X440" s="846"/>
      <c r="Y440" s="846"/>
      <c r="Z440" s="846"/>
      <c r="AA440" s="846"/>
      <c r="AB440" s="254"/>
    </row>
    <row r="441" spans="1:34" ht="13.15" customHeight="1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>
      <c r="A442" s="464"/>
      <c r="B442" s="254"/>
      <c r="C442" s="254"/>
      <c r="D442" s="796"/>
      <c r="E442" s="797"/>
      <c r="F442" s="797"/>
      <c r="G442" s="798"/>
      <c r="H442" s="293"/>
      <c r="I442" s="776"/>
      <c r="J442" s="777"/>
      <c r="K442" s="777"/>
      <c r="L442" s="778"/>
      <c r="M442" s="293"/>
      <c r="N442" s="293"/>
      <c r="O442" s="293"/>
      <c r="P442" s="293"/>
      <c r="Q442" s="293"/>
      <c r="R442" s="293"/>
      <c r="S442" s="776"/>
      <c r="T442" s="777"/>
      <c r="U442" s="777"/>
      <c r="V442" s="778"/>
      <c r="W442" s="293"/>
      <c r="X442" s="846"/>
      <c r="Y442" s="846"/>
      <c r="Z442" s="846"/>
      <c r="AA442" s="846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>
      <c r="A443" s="467"/>
      <c r="B443" s="254"/>
      <c r="C443" s="254"/>
      <c r="D443" s="796"/>
      <c r="E443" s="797"/>
      <c r="F443" s="797"/>
      <c r="G443" s="798"/>
      <c r="H443" s="293"/>
      <c r="I443" s="776"/>
      <c r="J443" s="777"/>
      <c r="K443" s="777"/>
      <c r="L443" s="778"/>
      <c r="M443" s="293"/>
      <c r="N443" s="293"/>
      <c r="O443" s="293"/>
      <c r="P443" s="293"/>
      <c r="Q443" s="293"/>
      <c r="R443" s="293"/>
      <c r="S443" s="776"/>
      <c r="T443" s="777"/>
      <c r="U443" s="777"/>
      <c r="V443" s="778"/>
      <c r="W443" s="293"/>
      <c r="X443" s="846"/>
      <c r="Y443" s="846"/>
      <c r="Z443" s="846"/>
      <c r="AA443" s="846"/>
      <c r="AB443" s="254"/>
      <c r="AC443" s="398"/>
      <c r="AD443" s="398"/>
      <c r="AE443" s="398"/>
      <c r="AF443" s="398"/>
      <c r="AG443" s="398"/>
      <c r="AH443" s="397"/>
    </row>
    <row r="444" spans="1:34" ht="12.95" customHeight="1">
      <c r="A444" s="464"/>
      <c r="B444" s="254"/>
      <c r="C444" s="254"/>
      <c r="D444" s="799"/>
      <c r="E444" s="800"/>
      <c r="F444" s="800"/>
      <c r="G444" s="801"/>
      <c r="H444" s="293"/>
      <c r="I444" s="773"/>
      <c r="J444" s="774"/>
      <c r="K444" s="774"/>
      <c r="L444" s="775"/>
      <c r="M444" s="293"/>
      <c r="N444" s="293"/>
      <c r="O444" s="293"/>
      <c r="P444" s="293"/>
      <c r="Q444" s="293"/>
      <c r="R444" s="293"/>
      <c r="S444" s="776"/>
      <c r="T444" s="777"/>
      <c r="U444" s="777"/>
      <c r="V444" s="778"/>
      <c r="W444" s="293"/>
      <c r="X444" s="846"/>
      <c r="Y444" s="846"/>
      <c r="Z444" s="846"/>
      <c r="AA444" s="846"/>
      <c r="AB444" s="254"/>
      <c r="AC444" s="396"/>
      <c r="AD444" s="822"/>
      <c r="AE444" s="822"/>
      <c r="AF444" s="822"/>
      <c r="AG444" s="822"/>
      <c r="AH444" s="206"/>
    </row>
    <row r="445" spans="1:34" ht="12" customHeight="1">
      <c r="A445" s="464"/>
      <c r="B445" s="254"/>
      <c r="C445" s="254"/>
      <c r="D445" s="930" t="s">
        <v>197</v>
      </c>
      <c r="E445" s="931"/>
      <c r="F445" s="931"/>
      <c r="G445" s="932"/>
      <c r="H445" s="565"/>
      <c r="I445" s="930" t="s">
        <v>452</v>
      </c>
      <c r="J445" s="931"/>
      <c r="K445" s="931"/>
      <c r="L445" s="932"/>
      <c r="M445" s="565"/>
      <c r="N445" s="293"/>
      <c r="O445" s="293"/>
      <c r="P445" s="293"/>
      <c r="Q445" s="293"/>
      <c r="R445" s="565"/>
      <c r="S445" s="930" t="s">
        <v>470</v>
      </c>
      <c r="T445" s="931"/>
      <c r="U445" s="931"/>
      <c r="V445" s="932"/>
      <c r="W445" s="293"/>
      <c r="X445" s="919"/>
      <c r="Y445" s="919"/>
      <c r="Z445" s="919"/>
      <c r="AA445" s="919"/>
      <c r="AB445" s="254"/>
      <c r="AC445" s="822"/>
      <c r="AD445" s="822"/>
      <c r="AE445" s="822"/>
      <c r="AF445" s="822"/>
      <c r="AG445" s="396"/>
      <c r="AH445" s="206"/>
    </row>
    <row r="446" spans="1:34" s="188" customFormat="1" ht="27" customHeight="1">
      <c r="A446" s="254"/>
      <c r="B446" s="262"/>
      <c r="C446" s="262"/>
      <c r="D446" s="782" t="s">
        <v>896</v>
      </c>
      <c r="E446" s="783"/>
      <c r="F446" s="783"/>
      <c r="G446" s="789"/>
      <c r="H446" s="308"/>
      <c r="I446" s="782" t="s">
        <v>897</v>
      </c>
      <c r="J446" s="783"/>
      <c r="K446" s="783"/>
      <c r="L446" s="789"/>
      <c r="M446" s="308"/>
      <c r="N446" s="293"/>
      <c r="O446" s="293"/>
      <c r="P446" s="293"/>
      <c r="Q446" s="293"/>
      <c r="R446" s="308"/>
      <c r="S446" s="916" t="s">
        <v>898</v>
      </c>
      <c r="T446" s="917"/>
      <c r="U446" s="917"/>
      <c r="V446" s="918"/>
      <c r="W446" s="308"/>
      <c r="X446" s="849"/>
      <c r="Y446" s="849"/>
      <c r="Z446" s="849"/>
      <c r="AA446" s="849"/>
      <c r="AB446" s="262"/>
      <c r="AC446" s="396"/>
      <c r="AD446" s="823"/>
      <c r="AE446" s="823"/>
      <c r="AF446" s="823"/>
      <c r="AG446" s="823"/>
      <c r="AH446" s="206"/>
    </row>
    <row r="447" spans="1:34" ht="16.149999999999999" customHeight="1">
      <c r="A447" s="464"/>
      <c r="B447" s="254"/>
      <c r="C447" s="254"/>
      <c r="D447" s="794">
        <v>9</v>
      </c>
      <c r="E447" s="795"/>
      <c r="F447" s="771">
        <v>8</v>
      </c>
      <c r="G447" s="772"/>
      <c r="H447" s="293"/>
      <c r="I447" s="794">
        <v>9</v>
      </c>
      <c r="J447" s="795"/>
      <c r="K447" s="771">
        <v>0</v>
      </c>
      <c r="L447" s="772"/>
      <c r="M447" s="293"/>
      <c r="N447" s="293"/>
      <c r="O447" s="293"/>
      <c r="P447" s="293"/>
      <c r="Q447" s="293"/>
      <c r="R447" s="293"/>
      <c r="S447" s="794">
        <v>12</v>
      </c>
      <c r="T447" s="795"/>
      <c r="U447" s="771">
        <v>0</v>
      </c>
      <c r="V447" s="772"/>
      <c r="W447" s="293"/>
      <c r="X447" s="933"/>
      <c r="Y447" s="933"/>
      <c r="Z447" s="934"/>
      <c r="AA447" s="934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>
      <c r="A450" s="464"/>
      <c r="B450" s="254"/>
      <c r="C450" s="254"/>
      <c r="D450" s="802"/>
      <c r="E450" s="803"/>
      <c r="F450" s="803"/>
      <c r="G450" s="804"/>
      <c r="H450" s="293"/>
      <c r="I450" s="802"/>
      <c r="J450" s="803"/>
      <c r="K450" s="803"/>
      <c r="L450" s="804"/>
      <c r="M450" s="293"/>
      <c r="N450" s="293"/>
      <c r="O450" s="293"/>
      <c r="P450" s="293"/>
      <c r="Q450" s="293"/>
      <c r="R450" s="293"/>
      <c r="S450" s="779"/>
      <c r="T450" s="780"/>
      <c r="U450" s="780"/>
      <c r="V450" s="781"/>
      <c r="W450" s="293"/>
      <c r="X450" s="779"/>
      <c r="Y450" s="780"/>
      <c r="Z450" s="780"/>
      <c r="AA450" s="781"/>
      <c r="AB450" s="254"/>
    </row>
    <row r="451" spans="1:29" ht="14.25">
      <c r="A451" s="464"/>
      <c r="B451" s="254"/>
      <c r="C451" s="254"/>
      <c r="D451" s="796"/>
      <c r="E451" s="797"/>
      <c r="F451" s="797"/>
      <c r="G451" s="798"/>
      <c r="H451" s="293"/>
      <c r="I451" s="796"/>
      <c r="J451" s="797"/>
      <c r="K451" s="797"/>
      <c r="L451" s="798"/>
      <c r="M451" s="293"/>
      <c r="N451" s="293"/>
      <c r="O451" s="293"/>
      <c r="P451" s="293"/>
      <c r="Q451" s="293"/>
      <c r="R451" s="293"/>
      <c r="S451" s="776"/>
      <c r="T451" s="777"/>
      <c r="U451" s="777"/>
      <c r="V451" s="778"/>
      <c r="W451" s="293"/>
      <c r="X451" s="776"/>
      <c r="Y451" s="777"/>
      <c r="Z451" s="777"/>
      <c r="AA451" s="778"/>
      <c r="AB451" s="254"/>
    </row>
    <row r="452" spans="1:29" ht="14.25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>
      <c r="A453" s="464"/>
      <c r="B453" s="254"/>
      <c r="C453" s="254"/>
      <c r="D453" s="796"/>
      <c r="E453" s="797"/>
      <c r="F453" s="797"/>
      <c r="G453" s="798"/>
      <c r="H453" s="293"/>
      <c r="I453" s="796"/>
      <c r="J453" s="797"/>
      <c r="K453" s="797"/>
      <c r="L453" s="798"/>
      <c r="M453" s="293"/>
      <c r="N453" s="293"/>
      <c r="O453" s="293"/>
      <c r="P453" s="293"/>
      <c r="Q453" s="293"/>
      <c r="R453" s="293"/>
      <c r="S453" s="776"/>
      <c r="T453" s="777"/>
      <c r="U453" s="777"/>
      <c r="V453" s="778"/>
      <c r="W453" s="293"/>
      <c r="X453" s="776"/>
      <c r="Y453" s="777"/>
      <c r="Z453" s="777"/>
      <c r="AA453" s="778"/>
      <c r="AB453" s="254"/>
    </row>
    <row r="454" spans="1:29" s="193" customFormat="1" ht="14.25">
      <c r="A454" s="467"/>
      <c r="B454" s="254"/>
      <c r="C454" s="254"/>
      <c r="D454" s="796"/>
      <c r="E454" s="797"/>
      <c r="F454" s="797"/>
      <c r="G454" s="798"/>
      <c r="H454" s="293"/>
      <c r="I454" s="796"/>
      <c r="J454" s="797"/>
      <c r="K454" s="797"/>
      <c r="L454" s="798"/>
      <c r="M454" s="293"/>
      <c r="N454" s="337"/>
      <c r="O454" s="337"/>
      <c r="P454" s="337"/>
      <c r="Q454" s="337"/>
      <c r="R454" s="308"/>
      <c r="S454" s="776"/>
      <c r="T454" s="777"/>
      <c r="U454" s="777"/>
      <c r="V454" s="778"/>
      <c r="W454" s="293"/>
      <c r="X454" s="776"/>
      <c r="Y454" s="777"/>
      <c r="Z454" s="777"/>
      <c r="AA454" s="778"/>
      <c r="AB454" s="254"/>
      <c r="AC454" s="397"/>
    </row>
    <row r="455" spans="1:29" ht="12.75" customHeight="1">
      <c r="A455" s="464"/>
      <c r="B455" s="254"/>
      <c r="C455" s="254"/>
      <c r="D455" s="799"/>
      <c r="E455" s="800"/>
      <c r="F455" s="800"/>
      <c r="G455" s="801"/>
      <c r="H455" s="293"/>
      <c r="I455" s="799"/>
      <c r="J455" s="800"/>
      <c r="K455" s="800"/>
      <c r="L455" s="801"/>
      <c r="M455" s="293"/>
      <c r="N455" s="293"/>
      <c r="O455" s="293"/>
      <c r="P455" s="293"/>
      <c r="Q455" s="293"/>
      <c r="R455" s="293"/>
      <c r="S455" s="773"/>
      <c r="T455" s="774"/>
      <c r="U455" s="774"/>
      <c r="V455" s="775"/>
      <c r="W455" s="293"/>
      <c r="X455" s="773"/>
      <c r="Y455" s="774"/>
      <c r="Z455" s="774"/>
      <c r="AA455" s="775"/>
      <c r="AB455" s="254"/>
    </row>
    <row r="456" spans="1:29" ht="12.4" customHeight="1">
      <c r="A456" s="464"/>
      <c r="B456" s="254"/>
      <c r="C456" s="254"/>
      <c r="D456" s="786" t="s">
        <v>196</v>
      </c>
      <c r="E456" s="787"/>
      <c r="F456" s="787"/>
      <c r="G456" s="788"/>
      <c r="H456" s="293"/>
      <c r="I456" s="786" t="s">
        <v>198</v>
      </c>
      <c r="J456" s="787"/>
      <c r="K456" s="787"/>
      <c r="L456" s="788"/>
      <c r="M456" s="293"/>
      <c r="N456" s="293"/>
      <c r="O456" s="293"/>
      <c r="P456" s="293"/>
      <c r="Q456" s="293"/>
      <c r="R456" s="293"/>
      <c r="S456" s="786" t="s">
        <v>524</v>
      </c>
      <c r="T456" s="787"/>
      <c r="U456" s="787"/>
      <c r="V456" s="788"/>
      <c r="W456" s="293"/>
      <c r="X456" s="786" t="s">
        <v>525</v>
      </c>
      <c r="Y456" s="787"/>
      <c r="Z456" s="787"/>
      <c r="AA456" s="788"/>
      <c r="AB456" s="254"/>
    </row>
    <row r="457" spans="1:29" ht="27" customHeight="1">
      <c r="A457" s="464"/>
      <c r="B457" s="262"/>
      <c r="C457" s="262"/>
      <c r="D457" s="793" t="s">
        <v>900</v>
      </c>
      <c r="E457" s="783"/>
      <c r="F457" s="783"/>
      <c r="G457" s="789"/>
      <c r="H457" s="308"/>
      <c r="I457" s="782" t="s">
        <v>899</v>
      </c>
      <c r="J457" s="783"/>
      <c r="K457" s="783"/>
      <c r="L457" s="789"/>
      <c r="M457" s="308"/>
      <c r="N457" s="293"/>
      <c r="O457" s="293"/>
      <c r="P457" s="293"/>
      <c r="Q457" s="293"/>
      <c r="R457" s="293"/>
      <c r="S457" s="916" t="s">
        <v>901</v>
      </c>
      <c r="T457" s="917"/>
      <c r="U457" s="917"/>
      <c r="V457" s="918"/>
      <c r="W457" s="308"/>
      <c r="X457" s="916" t="s">
        <v>902</v>
      </c>
      <c r="Y457" s="917"/>
      <c r="Z457" s="917"/>
      <c r="AA457" s="918"/>
      <c r="AB457" s="262"/>
    </row>
    <row r="458" spans="1:29" ht="16.149999999999999" customHeight="1">
      <c r="A458" s="464"/>
      <c r="B458" s="254"/>
      <c r="C458" s="254"/>
      <c r="D458" s="769">
        <v>10</v>
      </c>
      <c r="E458" s="770"/>
      <c r="F458" s="771">
        <v>6</v>
      </c>
      <c r="G458" s="772"/>
      <c r="H458" s="293"/>
      <c r="I458" s="769">
        <v>13</v>
      </c>
      <c r="J458" s="770"/>
      <c r="K458" s="771">
        <v>0</v>
      </c>
      <c r="L458" s="772"/>
      <c r="M458" s="293"/>
      <c r="N458" s="293"/>
      <c r="O458" s="293"/>
      <c r="P458" s="293"/>
      <c r="Q458" s="293"/>
      <c r="R458" s="293"/>
      <c r="S458" s="794">
        <v>13</v>
      </c>
      <c r="T458" s="906"/>
      <c r="U458" s="771">
        <v>0</v>
      </c>
      <c r="V458" s="772"/>
      <c r="W458" s="293"/>
      <c r="X458" s="794">
        <v>13</v>
      </c>
      <c r="Y458" s="795"/>
      <c r="Z458" s="771">
        <v>0</v>
      </c>
      <c r="AA458" s="772"/>
      <c r="AB458" s="254"/>
    </row>
    <row r="459" spans="1:29" s="488" customFormat="1" ht="16.149999999999999" customHeight="1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>
      <c r="A461" s="464"/>
      <c r="B461" s="254"/>
      <c r="C461" s="254"/>
      <c r="D461" s="779"/>
      <c r="E461" s="780"/>
      <c r="F461" s="780"/>
      <c r="G461" s="781"/>
      <c r="H461" s="293"/>
      <c r="I461" s="779"/>
      <c r="J461" s="780"/>
      <c r="K461" s="780"/>
      <c r="L461" s="781"/>
      <c r="M461" s="293"/>
      <c r="N461" s="779"/>
      <c r="O461" s="780"/>
      <c r="P461" s="780"/>
      <c r="Q461" s="781"/>
      <c r="R461" s="293"/>
      <c r="W461" s="746"/>
      <c r="AB461" s="254"/>
    </row>
    <row r="462" spans="1:29" ht="14.25">
      <c r="A462" s="464"/>
      <c r="B462" s="254"/>
      <c r="C462" s="254"/>
      <c r="D462" s="776"/>
      <c r="E462" s="777"/>
      <c r="F462" s="777"/>
      <c r="G462" s="778"/>
      <c r="H462" s="293"/>
      <c r="I462" s="776"/>
      <c r="J462" s="777"/>
      <c r="K462" s="777"/>
      <c r="L462" s="778"/>
      <c r="M462" s="293"/>
      <c r="N462" s="776"/>
      <c r="O462" s="777"/>
      <c r="P462" s="777"/>
      <c r="Q462" s="778"/>
      <c r="R462" s="293"/>
      <c r="W462" s="746"/>
      <c r="AB462" s="254"/>
    </row>
    <row r="463" spans="1:29" ht="14.25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>
      <c r="A464" s="464"/>
      <c r="B464" s="254"/>
      <c r="C464" s="254"/>
      <c r="D464" s="776"/>
      <c r="E464" s="777"/>
      <c r="F464" s="777"/>
      <c r="G464" s="778"/>
      <c r="H464" s="293"/>
      <c r="I464" s="776"/>
      <c r="J464" s="777"/>
      <c r="K464" s="777"/>
      <c r="L464" s="778"/>
      <c r="M464" s="293"/>
      <c r="N464" s="776"/>
      <c r="O464" s="777"/>
      <c r="P464" s="777"/>
      <c r="Q464" s="778"/>
      <c r="R464" s="293"/>
      <c r="W464" s="746"/>
      <c r="AB464" s="254"/>
    </row>
    <row r="465" spans="1:29" s="193" customFormat="1" ht="30" customHeight="1">
      <c r="A465" s="467"/>
      <c r="B465" s="254"/>
      <c r="C465" s="254"/>
      <c r="D465" s="776"/>
      <c r="E465" s="777"/>
      <c r="F465" s="777"/>
      <c r="G465" s="778"/>
      <c r="H465" s="293"/>
      <c r="I465" s="776"/>
      <c r="J465" s="777"/>
      <c r="K465" s="777"/>
      <c r="L465" s="778"/>
      <c r="M465" s="293"/>
      <c r="N465" s="776"/>
      <c r="O465" s="777"/>
      <c r="P465" s="777"/>
      <c r="Q465" s="778"/>
      <c r="R465" s="308"/>
      <c r="W465" s="747"/>
      <c r="AB465" s="254"/>
      <c r="AC465" s="397"/>
    </row>
    <row r="466" spans="1:29" ht="12.75" customHeight="1">
      <c r="A466" s="464"/>
      <c r="B466" s="254"/>
      <c r="C466" s="254"/>
      <c r="D466" s="773"/>
      <c r="E466" s="774"/>
      <c r="F466" s="774"/>
      <c r="G466" s="775"/>
      <c r="H466" s="293"/>
      <c r="I466" s="773"/>
      <c r="J466" s="774"/>
      <c r="K466" s="774"/>
      <c r="L466" s="775"/>
      <c r="M466" s="293"/>
      <c r="N466" s="773"/>
      <c r="O466" s="774"/>
      <c r="P466" s="774"/>
      <c r="Q466" s="775"/>
      <c r="R466" s="293"/>
      <c r="W466" s="746"/>
      <c r="AB466" s="254"/>
    </row>
    <row r="467" spans="1:29" ht="15.75" customHeight="1">
      <c r="A467" s="464"/>
      <c r="B467" s="254"/>
      <c r="C467" s="254"/>
      <c r="D467" s="786" t="s">
        <v>199</v>
      </c>
      <c r="E467" s="787"/>
      <c r="F467" s="787"/>
      <c r="G467" s="788"/>
      <c r="H467" s="293"/>
      <c r="I467" s="786" t="s">
        <v>200</v>
      </c>
      <c r="J467" s="787"/>
      <c r="K467" s="787"/>
      <c r="L467" s="788"/>
      <c r="M467" s="293"/>
      <c r="N467" s="786" t="s">
        <v>888</v>
      </c>
      <c r="O467" s="787"/>
      <c r="P467" s="787"/>
      <c r="Q467" s="788"/>
      <c r="R467" s="293"/>
      <c r="S467" s="786" t="s">
        <v>891</v>
      </c>
      <c r="T467" s="787"/>
      <c r="U467" s="787"/>
      <c r="V467" s="788"/>
      <c r="W467" s="748"/>
      <c r="X467" s="786" t="s">
        <v>892</v>
      </c>
      <c r="Y467" s="787"/>
      <c r="Z467" s="787"/>
      <c r="AA467" s="788"/>
      <c r="AB467" s="254"/>
    </row>
    <row r="468" spans="1:29" ht="27" customHeight="1">
      <c r="A468" s="464"/>
      <c r="B468" s="262"/>
      <c r="C468" s="262"/>
      <c r="D468" s="793" t="s">
        <v>903</v>
      </c>
      <c r="E468" s="783"/>
      <c r="F468" s="783"/>
      <c r="G468" s="789"/>
      <c r="H468" s="308"/>
      <c r="I468" s="782" t="s">
        <v>904</v>
      </c>
      <c r="J468" s="783"/>
      <c r="K468" s="783"/>
      <c r="L468" s="789"/>
      <c r="M468" s="308"/>
      <c r="N468" s="782" t="s">
        <v>894</v>
      </c>
      <c r="O468" s="783"/>
      <c r="P468" s="783"/>
      <c r="Q468" s="789"/>
      <c r="R468" s="293"/>
      <c r="S468" s="793" t="s">
        <v>905</v>
      </c>
      <c r="T468" s="783"/>
      <c r="U468" s="783"/>
      <c r="V468" s="789"/>
      <c r="W468" s="308"/>
      <c r="X468" s="782" t="s">
        <v>907</v>
      </c>
      <c r="Y468" s="783"/>
      <c r="Z468" s="783"/>
      <c r="AA468" s="789"/>
      <c r="AB468" s="262"/>
    </row>
    <row r="469" spans="1:29" ht="16.149999999999999" customHeight="1">
      <c r="A469" s="464"/>
      <c r="B469" s="254"/>
      <c r="C469" s="254"/>
      <c r="D469" s="794">
        <v>10.75</v>
      </c>
      <c r="E469" s="795"/>
      <c r="F469" s="771">
        <v>4</v>
      </c>
      <c r="G469" s="772"/>
      <c r="H469" s="293"/>
      <c r="I469" s="769">
        <v>8</v>
      </c>
      <c r="J469" s="770"/>
      <c r="K469" s="771">
        <v>0</v>
      </c>
      <c r="L469" s="772"/>
      <c r="M469" s="293"/>
      <c r="N469" s="769">
        <v>27</v>
      </c>
      <c r="O469" s="770"/>
      <c r="P469" s="771">
        <v>0</v>
      </c>
      <c r="Q469" s="772"/>
      <c r="R469" s="293"/>
      <c r="S469" s="794">
        <v>14.79</v>
      </c>
      <c r="T469" s="795"/>
      <c r="U469" s="771">
        <v>0</v>
      </c>
      <c r="V469" s="772"/>
      <c r="W469" s="293"/>
      <c r="X469" s="769">
        <v>12.04</v>
      </c>
      <c r="Y469" s="770"/>
      <c r="Z469" s="771">
        <v>0</v>
      </c>
      <c r="AA469" s="772"/>
      <c r="AB469" s="254"/>
    </row>
    <row r="470" spans="1:29" s="488" customFormat="1" ht="16.149999999999999" customHeight="1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>
      <c r="A472" s="484"/>
      <c r="B472" s="485"/>
      <c r="C472" s="485"/>
      <c r="D472" s="779"/>
      <c r="E472" s="780"/>
      <c r="F472" s="780"/>
      <c r="G472" s="781"/>
      <c r="H472" s="293"/>
      <c r="I472" s="779"/>
      <c r="J472" s="780"/>
      <c r="K472" s="780"/>
      <c r="L472" s="781"/>
      <c r="M472" s="565"/>
      <c r="N472" s="779"/>
      <c r="O472" s="780"/>
      <c r="P472" s="780"/>
      <c r="Q472" s="781"/>
      <c r="R472" s="565"/>
      <c r="S472" s="779"/>
      <c r="T472" s="780"/>
      <c r="U472" s="780"/>
      <c r="V472" s="781"/>
      <c r="W472" s="293"/>
      <c r="X472" s="779"/>
      <c r="Y472" s="780"/>
      <c r="Z472" s="780"/>
      <c r="AA472" s="781"/>
      <c r="AB472" s="485"/>
      <c r="AC472" s="487"/>
    </row>
    <row r="473" spans="1:29" s="488" customFormat="1" ht="16.149999999999999" customHeight="1">
      <c r="A473" s="484"/>
      <c r="B473" s="485"/>
      <c r="C473" s="485"/>
      <c r="D473" s="776"/>
      <c r="E473" s="777"/>
      <c r="F473" s="777"/>
      <c r="G473" s="778"/>
      <c r="H473" s="293"/>
      <c r="I473" s="776"/>
      <c r="J473" s="777"/>
      <c r="K473" s="777"/>
      <c r="L473" s="778"/>
      <c r="M473" s="565"/>
      <c r="N473" s="776"/>
      <c r="O473" s="777"/>
      <c r="P473" s="777"/>
      <c r="Q473" s="778"/>
      <c r="R473" s="565"/>
      <c r="S473" s="776"/>
      <c r="T473" s="777"/>
      <c r="U473" s="777"/>
      <c r="V473" s="778"/>
      <c r="W473" s="293"/>
      <c r="X473" s="776"/>
      <c r="Y473" s="777"/>
      <c r="Z473" s="777"/>
      <c r="AA473" s="778"/>
      <c r="AB473" s="485"/>
      <c r="AC473" s="487"/>
    </row>
    <row r="474" spans="1:29" s="488" customFormat="1" ht="16.149999999999999" customHeight="1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>
      <c r="A475" s="484"/>
      <c r="B475" s="485"/>
      <c r="C475" s="485"/>
      <c r="D475" s="776"/>
      <c r="E475" s="777"/>
      <c r="F475" s="777"/>
      <c r="G475" s="778"/>
      <c r="H475" s="293"/>
      <c r="I475" s="776"/>
      <c r="J475" s="777"/>
      <c r="K475" s="777"/>
      <c r="L475" s="778"/>
      <c r="M475" s="565"/>
      <c r="N475" s="776"/>
      <c r="O475" s="777"/>
      <c r="P475" s="777"/>
      <c r="Q475" s="778"/>
      <c r="R475" s="565"/>
      <c r="S475" s="776"/>
      <c r="T475" s="777"/>
      <c r="U475" s="777"/>
      <c r="V475" s="778"/>
      <c r="W475" s="293"/>
      <c r="X475" s="776"/>
      <c r="Y475" s="777"/>
      <c r="Z475" s="777"/>
      <c r="AA475" s="778"/>
      <c r="AB475" s="485"/>
      <c r="AC475" s="487"/>
    </row>
    <row r="476" spans="1:29" s="488" customFormat="1" ht="16.149999999999999" customHeight="1">
      <c r="A476" s="484"/>
      <c r="B476" s="485"/>
      <c r="C476" s="485"/>
      <c r="D476" s="776"/>
      <c r="E476" s="777"/>
      <c r="F476" s="777"/>
      <c r="G476" s="778"/>
      <c r="H476" s="293"/>
      <c r="I476" s="776"/>
      <c r="J476" s="777"/>
      <c r="K476" s="777"/>
      <c r="L476" s="778"/>
      <c r="M476" s="565"/>
      <c r="N476" s="776"/>
      <c r="O476" s="777"/>
      <c r="P476" s="777"/>
      <c r="Q476" s="778"/>
      <c r="R476" s="565"/>
      <c r="S476" s="776"/>
      <c r="T476" s="777"/>
      <c r="U476" s="777"/>
      <c r="V476" s="778"/>
      <c r="W476" s="293"/>
      <c r="X476" s="776"/>
      <c r="Y476" s="777"/>
      <c r="Z476" s="777"/>
      <c r="AA476" s="778"/>
      <c r="AB476" s="485"/>
      <c r="AC476" s="487"/>
    </row>
    <row r="477" spans="1:29" s="488" customFormat="1" ht="16.149999999999999" customHeight="1">
      <c r="A477" s="484"/>
      <c r="B477" s="485"/>
      <c r="C477" s="485"/>
      <c r="D477" s="773"/>
      <c r="E477" s="774"/>
      <c r="F477" s="774"/>
      <c r="G477" s="775"/>
      <c r="H477" s="293"/>
      <c r="I477" s="773"/>
      <c r="J477" s="774"/>
      <c r="K477" s="774"/>
      <c r="L477" s="775"/>
      <c r="M477" s="565"/>
      <c r="N477" s="773"/>
      <c r="O477" s="774"/>
      <c r="P477" s="774"/>
      <c r="Q477" s="775"/>
      <c r="R477" s="565"/>
      <c r="S477" s="773"/>
      <c r="T477" s="774"/>
      <c r="U477" s="774"/>
      <c r="V477" s="775"/>
      <c r="W477" s="293"/>
      <c r="X477" s="773"/>
      <c r="Y477" s="774"/>
      <c r="Z477" s="774"/>
      <c r="AA477" s="775"/>
      <c r="AB477" s="485"/>
      <c r="AC477" s="487"/>
    </row>
    <row r="478" spans="1:29" s="488" customFormat="1" ht="16.149999999999999" customHeight="1">
      <c r="A478" s="484"/>
      <c r="B478" s="485"/>
      <c r="C478" s="485"/>
      <c r="D478" s="786" t="s">
        <v>201</v>
      </c>
      <c r="E478" s="787"/>
      <c r="F478" s="787"/>
      <c r="G478" s="788"/>
      <c r="H478" s="293"/>
      <c r="I478" s="786" t="s">
        <v>202</v>
      </c>
      <c r="J478" s="787"/>
      <c r="K478" s="787"/>
      <c r="L478" s="788"/>
      <c r="M478" s="565"/>
      <c r="N478" s="786" t="s">
        <v>893</v>
      </c>
      <c r="O478" s="787"/>
      <c r="P478" s="787"/>
      <c r="Q478" s="788"/>
      <c r="R478" s="565"/>
      <c r="S478" s="786" t="s">
        <v>889</v>
      </c>
      <c r="T478" s="787"/>
      <c r="U478" s="787"/>
      <c r="V478" s="788"/>
      <c r="W478" s="293"/>
      <c r="X478" s="786" t="s">
        <v>890</v>
      </c>
      <c r="Y478" s="787"/>
      <c r="Z478" s="787"/>
      <c r="AA478" s="788"/>
      <c r="AB478" s="485"/>
      <c r="AC478" s="487"/>
    </row>
    <row r="479" spans="1:29" s="488" customFormat="1" ht="28.5" customHeight="1">
      <c r="A479" s="484"/>
      <c r="B479" s="485"/>
      <c r="C479" s="485"/>
      <c r="D479" s="782" t="s">
        <v>909</v>
      </c>
      <c r="E479" s="783"/>
      <c r="F479" s="784"/>
      <c r="G479" s="785"/>
      <c r="H479" s="308"/>
      <c r="I479" s="782" t="s">
        <v>910</v>
      </c>
      <c r="J479" s="783"/>
      <c r="K479" s="783"/>
      <c r="L479" s="789"/>
      <c r="M479" s="565"/>
      <c r="N479" s="782" t="s">
        <v>895</v>
      </c>
      <c r="O479" s="783"/>
      <c r="P479" s="783"/>
      <c r="Q479" s="789"/>
      <c r="R479" s="565"/>
      <c r="S479" s="782" t="s">
        <v>906</v>
      </c>
      <c r="T479" s="783"/>
      <c r="U479" s="784"/>
      <c r="V479" s="785"/>
      <c r="W479" s="308"/>
      <c r="X479" s="782" t="s">
        <v>908</v>
      </c>
      <c r="Y479" s="783"/>
      <c r="Z479" s="783"/>
      <c r="AA479" s="789"/>
      <c r="AB479" s="485"/>
      <c r="AC479" s="487"/>
    </row>
    <row r="480" spans="1:29" s="488" customFormat="1" ht="16.149999999999999" customHeight="1">
      <c r="A480" s="484"/>
      <c r="B480" s="485"/>
      <c r="C480" s="485"/>
      <c r="D480" s="794">
        <v>22</v>
      </c>
      <c r="E480" s="795"/>
      <c r="F480" s="771">
        <v>0</v>
      </c>
      <c r="G480" s="772"/>
      <c r="H480" s="293"/>
      <c r="I480" s="769">
        <v>17</v>
      </c>
      <c r="J480" s="770"/>
      <c r="K480" s="771">
        <v>0</v>
      </c>
      <c r="L480" s="772"/>
      <c r="M480" s="565"/>
      <c r="N480" s="769">
        <v>31</v>
      </c>
      <c r="O480" s="770"/>
      <c r="P480" s="771">
        <v>0</v>
      </c>
      <c r="Q480" s="772"/>
      <c r="R480" s="565"/>
      <c r="S480" s="794">
        <v>26.84</v>
      </c>
      <c r="T480" s="906"/>
      <c r="U480" s="771">
        <v>0</v>
      </c>
      <c r="V480" s="772"/>
      <c r="W480" s="293"/>
      <c r="X480" s="794">
        <v>21.84</v>
      </c>
      <c r="Y480" s="795"/>
      <c r="Z480" s="771">
        <v>0</v>
      </c>
      <c r="AA480" s="772"/>
      <c r="AB480" s="485"/>
      <c r="AC480" s="487"/>
    </row>
    <row r="481" spans="1:29" s="488" customFormat="1" ht="16.149999999999999" customHeight="1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>
      <c r="A483" s="480"/>
      <c r="B483" s="279"/>
      <c r="C483" s="279"/>
      <c r="D483" s="920" t="s">
        <v>171</v>
      </c>
      <c r="E483" s="920"/>
      <c r="F483" s="920"/>
      <c r="G483" s="920"/>
      <c r="H483" s="920"/>
      <c r="I483" s="920"/>
      <c r="J483" s="920"/>
      <c r="K483" s="920"/>
      <c r="L483" s="920"/>
      <c r="M483" s="920"/>
      <c r="N483" s="920"/>
      <c r="O483" s="920"/>
      <c r="P483" s="920"/>
      <c r="Q483" s="920"/>
      <c r="R483" s="920"/>
      <c r="S483" s="920"/>
      <c r="T483" s="920"/>
      <c r="U483" s="920"/>
      <c r="V483" s="920"/>
      <c r="W483" s="920"/>
      <c r="X483" s="920"/>
      <c r="Y483" s="920"/>
      <c r="Z483" s="920"/>
      <c r="AA483" s="920"/>
      <c r="AB483" s="279"/>
      <c r="AC483" s="429"/>
    </row>
    <row r="484" spans="1:29" s="202" customFormat="1" ht="27" customHeight="1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>
      <c r="A485" s="464"/>
      <c r="B485" s="254"/>
      <c r="C485" s="254"/>
      <c r="D485" s="802"/>
      <c r="E485" s="803"/>
      <c r="F485" s="803"/>
      <c r="G485" s="804"/>
      <c r="H485" s="293"/>
      <c r="I485" s="921"/>
      <c r="J485" s="922"/>
      <c r="K485" s="922"/>
      <c r="L485" s="923"/>
      <c r="M485" s="293"/>
      <c r="N485" s="802"/>
      <c r="O485" s="803"/>
      <c r="P485" s="803"/>
      <c r="Q485" s="804"/>
      <c r="R485" s="293"/>
      <c r="S485" s="802"/>
      <c r="T485" s="803"/>
      <c r="U485" s="803"/>
      <c r="V485" s="804"/>
      <c r="W485" s="293"/>
      <c r="X485" s="802"/>
      <c r="Y485" s="803"/>
      <c r="Z485" s="803"/>
      <c r="AA485" s="804"/>
      <c r="AB485" s="254"/>
    </row>
    <row r="486" spans="1:29" ht="14.25">
      <c r="A486" s="464"/>
      <c r="B486" s="254"/>
      <c r="C486" s="254"/>
      <c r="D486" s="796"/>
      <c r="E486" s="797"/>
      <c r="F486" s="797"/>
      <c r="G486" s="798"/>
      <c r="H486" s="293"/>
      <c r="I486" s="924"/>
      <c r="J486" s="925"/>
      <c r="K486" s="925"/>
      <c r="L486" s="926"/>
      <c r="M486" s="293"/>
      <c r="N486" s="796"/>
      <c r="O486" s="797"/>
      <c r="P486" s="797"/>
      <c r="Q486" s="798"/>
      <c r="R486" s="29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254"/>
    </row>
    <row r="487" spans="1:29" ht="14.25">
      <c r="A487" s="464"/>
      <c r="B487" s="254"/>
      <c r="C487" s="254"/>
      <c r="D487" s="796"/>
      <c r="E487" s="797"/>
      <c r="F487" s="797"/>
      <c r="G487" s="798"/>
      <c r="H487" s="293"/>
      <c r="I487" s="924"/>
      <c r="J487" s="925"/>
      <c r="K487" s="925"/>
      <c r="L487" s="926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>
      <c r="A488" s="464"/>
      <c r="B488" s="254"/>
      <c r="C488" s="254"/>
      <c r="D488" s="796"/>
      <c r="E488" s="797"/>
      <c r="F488" s="797"/>
      <c r="G488" s="798"/>
      <c r="H488" s="293"/>
      <c r="I488" s="924"/>
      <c r="J488" s="925"/>
      <c r="K488" s="925"/>
      <c r="L488" s="926"/>
      <c r="M488" s="293"/>
      <c r="N488" s="796"/>
      <c r="O488" s="797"/>
      <c r="P488" s="797"/>
      <c r="Q488" s="798"/>
      <c r="R488" s="293"/>
      <c r="S488" s="796"/>
      <c r="T488" s="797"/>
      <c r="U488" s="797"/>
      <c r="V488" s="798"/>
      <c r="W488" s="293"/>
      <c r="X488" s="796"/>
      <c r="Y488" s="797"/>
      <c r="Z488" s="797"/>
      <c r="AA488" s="798"/>
      <c r="AB488" s="254"/>
    </row>
    <row r="489" spans="1:29" ht="14.25">
      <c r="A489" s="464"/>
      <c r="B489" s="254"/>
      <c r="C489" s="254"/>
      <c r="D489" s="796"/>
      <c r="E489" s="797"/>
      <c r="F489" s="797"/>
      <c r="G489" s="798"/>
      <c r="H489" s="293"/>
      <c r="I489" s="924"/>
      <c r="J489" s="925"/>
      <c r="K489" s="925"/>
      <c r="L489" s="926"/>
      <c r="M489" s="293"/>
      <c r="N489" s="796"/>
      <c r="O489" s="797"/>
      <c r="P489" s="797"/>
      <c r="Q489" s="798"/>
      <c r="R489" s="293"/>
      <c r="S489" s="796"/>
      <c r="T489" s="797"/>
      <c r="U489" s="797"/>
      <c r="V489" s="798"/>
      <c r="W489" s="293"/>
      <c r="X489" s="796"/>
      <c r="Y489" s="797"/>
      <c r="Z489" s="797"/>
      <c r="AA489" s="798"/>
      <c r="AB489" s="254"/>
    </row>
    <row r="490" spans="1:29" ht="14.25">
      <c r="A490" s="464"/>
      <c r="B490" s="254"/>
      <c r="C490" s="254"/>
      <c r="D490" s="799"/>
      <c r="E490" s="800"/>
      <c r="F490" s="800"/>
      <c r="G490" s="801"/>
      <c r="H490" s="293"/>
      <c r="I490" s="927"/>
      <c r="J490" s="928"/>
      <c r="K490" s="928"/>
      <c r="L490" s="929"/>
      <c r="M490" s="293"/>
      <c r="N490" s="799"/>
      <c r="O490" s="800"/>
      <c r="P490" s="800"/>
      <c r="Q490" s="801"/>
      <c r="R490" s="293"/>
      <c r="S490" s="799"/>
      <c r="T490" s="800"/>
      <c r="U490" s="800"/>
      <c r="V490" s="801"/>
      <c r="W490" s="293"/>
      <c r="X490" s="799"/>
      <c r="Y490" s="800"/>
      <c r="Z490" s="800"/>
      <c r="AA490" s="801"/>
      <c r="AB490" s="254"/>
    </row>
    <row r="491" spans="1:29" ht="15">
      <c r="A491" s="464"/>
      <c r="B491" s="254"/>
      <c r="C491" s="254"/>
      <c r="D491" s="786" t="s">
        <v>206</v>
      </c>
      <c r="E491" s="787"/>
      <c r="F491" s="787"/>
      <c r="G491" s="788"/>
      <c r="H491" s="293"/>
      <c r="I491" s="786" t="s">
        <v>205</v>
      </c>
      <c r="J491" s="787"/>
      <c r="K491" s="787"/>
      <c r="L491" s="788"/>
      <c r="M491" s="293"/>
      <c r="N491" s="786" t="s">
        <v>204</v>
      </c>
      <c r="O491" s="787"/>
      <c r="P491" s="787"/>
      <c r="Q491" s="788"/>
      <c r="R491" s="293"/>
      <c r="S491" s="786" t="s">
        <v>203</v>
      </c>
      <c r="T491" s="787"/>
      <c r="U491" s="787"/>
      <c r="V491" s="788"/>
      <c r="W491" s="293"/>
      <c r="X491" s="786" t="s">
        <v>313</v>
      </c>
      <c r="Y491" s="787"/>
      <c r="Z491" s="787"/>
      <c r="AA491" s="788"/>
      <c r="AB491" s="254"/>
    </row>
    <row r="492" spans="1:29" s="193" customFormat="1" ht="27" customHeight="1">
      <c r="A492" s="467"/>
      <c r="B492" s="262"/>
      <c r="C492" s="262"/>
      <c r="D492" s="782" t="s">
        <v>621</v>
      </c>
      <c r="E492" s="783"/>
      <c r="F492" s="784"/>
      <c r="G492" s="785"/>
      <c r="H492" s="308"/>
      <c r="I492" s="782" t="s">
        <v>622</v>
      </c>
      <c r="J492" s="783"/>
      <c r="K492" s="784"/>
      <c r="L492" s="785"/>
      <c r="M492" s="308"/>
      <c r="N492" s="782" t="s">
        <v>623</v>
      </c>
      <c r="O492" s="783"/>
      <c r="P492" s="784"/>
      <c r="Q492" s="785"/>
      <c r="R492" s="308"/>
      <c r="S492" s="782" t="s">
        <v>624</v>
      </c>
      <c r="T492" s="783"/>
      <c r="U492" s="784"/>
      <c r="V492" s="785"/>
      <c r="W492" s="308"/>
      <c r="X492" s="782" t="s">
        <v>625</v>
      </c>
      <c r="Y492" s="783"/>
      <c r="Z492" s="784"/>
      <c r="AA492" s="785"/>
      <c r="AB492" s="262"/>
      <c r="AC492" s="397"/>
    </row>
    <row r="493" spans="1:29" ht="16.149999999999999" customHeight="1">
      <c r="A493" s="464"/>
      <c r="B493" s="254"/>
      <c r="C493" s="254"/>
      <c r="D493" s="790" t="s">
        <v>938</v>
      </c>
      <c r="E493" s="791"/>
      <c r="F493" s="791"/>
      <c r="G493" s="792"/>
      <c r="H493" s="293"/>
      <c r="I493" s="790" t="s">
        <v>938</v>
      </c>
      <c r="J493" s="791"/>
      <c r="K493" s="791"/>
      <c r="L493" s="792"/>
      <c r="M493" s="293"/>
      <c r="N493" s="790" t="s">
        <v>938</v>
      </c>
      <c r="O493" s="791"/>
      <c r="P493" s="791"/>
      <c r="Q493" s="792"/>
      <c r="R493" s="293"/>
      <c r="S493" s="790" t="s">
        <v>938</v>
      </c>
      <c r="T493" s="791"/>
      <c r="U493" s="791"/>
      <c r="V493" s="792"/>
      <c r="W493" s="293"/>
      <c r="X493" s="790" t="s">
        <v>938</v>
      </c>
      <c r="Y493" s="791"/>
      <c r="Z493" s="791"/>
      <c r="AA493" s="792"/>
      <c r="AB493" s="254"/>
    </row>
    <row r="494" spans="1:29" ht="14.25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>
      <c r="A495" s="464"/>
      <c r="B495" s="254"/>
      <c r="C495" s="254"/>
      <c r="D495" s="802"/>
      <c r="E495" s="803"/>
      <c r="F495" s="803"/>
      <c r="G495" s="804"/>
      <c r="H495" s="293"/>
      <c r="I495" s="802"/>
      <c r="J495" s="803"/>
      <c r="K495" s="803"/>
      <c r="L495" s="804"/>
      <c r="M495" s="293"/>
      <c r="N495" s="802"/>
      <c r="O495" s="803"/>
      <c r="P495" s="803"/>
      <c r="Q495" s="804"/>
      <c r="R495" s="293"/>
      <c r="S495" s="802"/>
      <c r="T495" s="803"/>
      <c r="U495" s="803"/>
      <c r="V495" s="804"/>
      <c r="W495" s="293"/>
      <c r="X495" s="846"/>
      <c r="Y495" s="846"/>
      <c r="Z495" s="846"/>
      <c r="AA495" s="846"/>
      <c r="AB495" s="254"/>
    </row>
    <row r="496" spans="1:29" ht="14.25">
      <c r="A496" s="464"/>
      <c r="B496" s="254"/>
      <c r="C496" s="254"/>
      <c r="D496" s="885"/>
      <c r="E496" s="886"/>
      <c r="F496" s="886"/>
      <c r="G496" s="887"/>
      <c r="H496" s="293"/>
      <c r="I496" s="796"/>
      <c r="J496" s="797"/>
      <c r="K496" s="797"/>
      <c r="L496" s="798"/>
      <c r="M496" s="293"/>
      <c r="N496" s="796"/>
      <c r="O496" s="797"/>
      <c r="P496" s="797"/>
      <c r="Q496" s="798"/>
      <c r="R496" s="293"/>
      <c r="S496" s="796"/>
      <c r="T496" s="797"/>
      <c r="U496" s="797"/>
      <c r="V496" s="798"/>
      <c r="W496" s="293"/>
      <c r="X496" s="1120"/>
      <c r="Y496" s="1120"/>
      <c r="Z496" s="1120"/>
      <c r="AA496" s="1120"/>
      <c r="AB496" s="254"/>
    </row>
    <row r="497" spans="1:29" ht="14.25">
      <c r="A497" s="464"/>
      <c r="B497" s="254"/>
      <c r="C497" s="254"/>
      <c r="D497" s="885"/>
      <c r="E497" s="886"/>
      <c r="F497" s="886"/>
      <c r="G497" s="887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20"/>
      <c r="Y497" s="1120"/>
      <c r="Z497" s="1120"/>
      <c r="AA497" s="1120"/>
      <c r="AB497" s="254"/>
    </row>
    <row r="498" spans="1:29" ht="14.25">
      <c r="A498" s="464"/>
      <c r="B498" s="254"/>
      <c r="C498" s="254"/>
      <c r="D498" s="885"/>
      <c r="E498" s="886"/>
      <c r="F498" s="886"/>
      <c r="G498" s="887"/>
      <c r="H498" s="293"/>
      <c r="I498" s="796"/>
      <c r="J498" s="797"/>
      <c r="K498" s="797"/>
      <c r="L498" s="798"/>
      <c r="M498" s="293"/>
      <c r="N498" s="796"/>
      <c r="O498" s="797"/>
      <c r="P498" s="797"/>
      <c r="Q498" s="798"/>
      <c r="R498" s="293"/>
      <c r="S498" s="796"/>
      <c r="T498" s="797"/>
      <c r="U498" s="797"/>
      <c r="V498" s="798"/>
      <c r="W498" s="293"/>
      <c r="X498" s="1120"/>
      <c r="Y498" s="1120"/>
      <c r="Z498" s="1120"/>
      <c r="AA498" s="1120"/>
      <c r="AB498" s="254"/>
    </row>
    <row r="499" spans="1:29" ht="14.25">
      <c r="A499" s="464"/>
      <c r="B499" s="254"/>
      <c r="C499" s="254"/>
      <c r="D499" s="885"/>
      <c r="E499" s="886"/>
      <c r="F499" s="886"/>
      <c r="G499" s="887"/>
      <c r="H499" s="293"/>
      <c r="I499" s="796"/>
      <c r="J499" s="797"/>
      <c r="K499" s="797"/>
      <c r="L499" s="798"/>
      <c r="M499" s="293"/>
      <c r="N499" s="796"/>
      <c r="O499" s="797"/>
      <c r="P499" s="797"/>
      <c r="Q499" s="798"/>
      <c r="R499" s="293"/>
      <c r="S499" s="796"/>
      <c r="T499" s="797"/>
      <c r="U499" s="797"/>
      <c r="V499" s="798"/>
      <c r="W499" s="293"/>
      <c r="X499" s="1120"/>
      <c r="Y499" s="1120"/>
      <c r="Z499" s="1120"/>
      <c r="AA499" s="1120"/>
      <c r="AB499" s="254"/>
    </row>
    <row r="500" spans="1:29" s="204" customFormat="1" ht="14.25">
      <c r="A500" s="479"/>
      <c r="B500" s="254"/>
      <c r="C500" s="254"/>
      <c r="D500" s="888"/>
      <c r="E500" s="889"/>
      <c r="F500" s="889"/>
      <c r="G500" s="890"/>
      <c r="H500" s="293"/>
      <c r="I500" s="799"/>
      <c r="J500" s="800"/>
      <c r="K500" s="800"/>
      <c r="L500" s="801"/>
      <c r="M500" s="293"/>
      <c r="N500" s="796"/>
      <c r="O500" s="797"/>
      <c r="P500" s="797"/>
      <c r="Q500" s="798"/>
      <c r="R500" s="293"/>
      <c r="S500" s="796"/>
      <c r="T500" s="797"/>
      <c r="U500" s="797"/>
      <c r="V500" s="798"/>
      <c r="W500" s="293"/>
      <c r="X500" s="1120"/>
      <c r="Y500" s="1120"/>
      <c r="Z500" s="1120"/>
      <c r="AA500" s="1120"/>
      <c r="AB500" s="254"/>
      <c r="AC500" s="428"/>
    </row>
    <row r="501" spans="1:29" ht="15">
      <c r="A501" s="464"/>
      <c r="B501" s="254"/>
      <c r="C501" s="254"/>
      <c r="D501" s="786" t="s">
        <v>207</v>
      </c>
      <c r="E501" s="787"/>
      <c r="F501" s="787"/>
      <c r="G501" s="788"/>
      <c r="H501" s="293"/>
      <c r="I501" s="786" t="s">
        <v>464</v>
      </c>
      <c r="J501" s="787"/>
      <c r="K501" s="787"/>
      <c r="L501" s="788"/>
      <c r="M501" s="293"/>
      <c r="N501" s="835" t="s">
        <v>463</v>
      </c>
      <c r="O501" s="836"/>
      <c r="P501" s="836"/>
      <c r="Q501" s="837"/>
      <c r="R501" s="293"/>
      <c r="S501" s="835" t="s">
        <v>913</v>
      </c>
      <c r="T501" s="836"/>
      <c r="U501" s="836"/>
      <c r="V501" s="837"/>
      <c r="W501" s="293"/>
      <c r="X501" s="939"/>
      <c r="Y501" s="939"/>
      <c r="Z501" s="939"/>
      <c r="AA501" s="939"/>
      <c r="AB501" s="254"/>
    </row>
    <row r="502" spans="1:29" s="193" customFormat="1" ht="27" customHeight="1">
      <c r="A502" s="467"/>
      <c r="B502" s="262"/>
      <c r="C502" s="262"/>
      <c r="D502" s="1122" t="s">
        <v>626</v>
      </c>
      <c r="E502" s="1123"/>
      <c r="F502" s="1123"/>
      <c r="G502" s="1124"/>
      <c r="H502" s="308"/>
      <c r="I502" s="936" t="s">
        <v>479</v>
      </c>
      <c r="J502" s="937"/>
      <c r="K502" s="937"/>
      <c r="L502" s="938"/>
      <c r="M502" s="308"/>
      <c r="N502" s="1156" t="s">
        <v>480</v>
      </c>
      <c r="O502" s="1128"/>
      <c r="P502" s="1128"/>
      <c r="Q502" s="1129"/>
      <c r="R502" s="308"/>
      <c r="S502" s="1127" t="s">
        <v>939</v>
      </c>
      <c r="T502" s="1128"/>
      <c r="U502" s="1128"/>
      <c r="V502" s="1129"/>
      <c r="W502" s="308"/>
      <c r="X502" s="849"/>
      <c r="Y502" s="849"/>
      <c r="Z502" s="849"/>
      <c r="AA502" s="849"/>
      <c r="AB502" s="262"/>
      <c r="AC502" s="397"/>
    </row>
    <row r="503" spans="1:29" ht="16.149999999999999" customHeight="1">
      <c r="A503" s="464"/>
      <c r="B503" s="254"/>
      <c r="C503" s="254"/>
      <c r="D503" s="891">
        <v>1950</v>
      </c>
      <c r="E503" s="891"/>
      <c r="F503" s="768">
        <v>0</v>
      </c>
      <c r="G503" s="768"/>
      <c r="H503" s="293"/>
      <c r="I503" s="891">
        <v>3500</v>
      </c>
      <c r="J503" s="891"/>
      <c r="K503" s="768">
        <v>0</v>
      </c>
      <c r="L503" s="768"/>
      <c r="M503" s="293"/>
      <c r="N503" s="883" t="s">
        <v>462</v>
      </c>
      <c r="O503" s="883"/>
      <c r="P503" s="768">
        <v>0</v>
      </c>
      <c r="Q503" s="768"/>
      <c r="R503" s="293"/>
      <c r="S503" s="790" t="s">
        <v>938</v>
      </c>
      <c r="T503" s="791"/>
      <c r="U503" s="791"/>
      <c r="V503" s="792"/>
      <c r="W503" s="293"/>
      <c r="X503" s="915"/>
      <c r="Y503" s="915"/>
      <c r="Z503" s="894"/>
      <c r="AA503" s="894"/>
      <c r="AB503" s="254"/>
    </row>
    <row r="504" spans="1:29" ht="14.25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>
      <c r="A505" s="464"/>
      <c r="B505" s="254"/>
      <c r="C505" s="254"/>
      <c r="D505" s="802"/>
      <c r="E505" s="803"/>
      <c r="F505" s="803"/>
      <c r="G505" s="804"/>
      <c r="H505" s="293"/>
      <c r="I505" s="802"/>
      <c r="J505" s="803"/>
      <c r="K505" s="803"/>
      <c r="L505" s="804"/>
      <c r="M505" s="293"/>
      <c r="N505" s="779"/>
      <c r="O505" s="780"/>
      <c r="P505" s="780"/>
      <c r="Q505" s="781"/>
      <c r="R505" s="293"/>
      <c r="S505" s="779"/>
      <c r="T505" s="780"/>
      <c r="U505" s="780"/>
      <c r="V505" s="781"/>
      <c r="W505" s="293"/>
      <c r="X505" s="779"/>
      <c r="Y505" s="780"/>
      <c r="Z505" s="780"/>
      <c r="AA505" s="781"/>
      <c r="AB505" s="254"/>
    </row>
    <row r="506" spans="1:29" ht="14.25">
      <c r="A506" s="464"/>
      <c r="B506" s="254"/>
      <c r="C506" s="254"/>
      <c r="D506" s="885"/>
      <c r="E506" s="886"/>
      <c r="F506" s="886"/>
      <c r="G506" s="887"/>
      <c r="H506" s="293"/>
      <c r="I506" s="885"/>
      <c r="J506" s="886"/>
      <c r="K506" s="886"/>
      <c r="L506" s="887"/>
      <c r="M506" s="293"/>
      <c r="N506" s="940"/>
      <c r="O506" s="941"/>
      <c r="P506" s="941"/>
      <c r="Q506" s="942"/>
      <c r="R506" s="293"/>
      <c r="S506" s="940"/>
      <c r="T506" s="941"/>
      <c r="U506" s="941"/>
      <c r="V506" s="942"/>
      <c r="W506" s="293"/>
      <c r="X506" s="940"/>
      <c r="Y506" s="941"/>
      <c r="Z506" s="941"/>
      <c r="AA506" s="942"/>
      <c r="AB506" s="254"/>
    </row>
    <row r="507" spans="1:29" ht="14.25">
      <c r="A507" s="464"/>
      <c r="B507" s="254"/>
      <c r="C507" s="254"/>
      <c r="D507" s="885"/>
      <c r="E507" s="886"/>
      <c r="F507" s="886"/>
      <c r="G507" s="887"/>
      <c r="H507" s="293"/>
      <c r="I507" s="885"/>
      <c r="J507" s="886"/>
      <c r="K507" s="886"/>
      <c r="L507" s="887"/>
      <c r="M507" s="293"/>
      <c r="N507" s="940"/>
      <c r="O507" s="941"/>
      <c r="P507" s="941"/>
      <c r="Q507" s="942"/>
      <c r="R507" s="293"/>
      <c r="S507" s="940"/>
      <c r="T507" s="941"/>
      <c r="U507" s="941"/>
      <c r="V507" s="942"/>
      <c r="W507" s="293"/>
      <c r="X507" s="940"/>
      <c r="Y507" s="941"/>
      <c r="Z507" s="941"/>
      <c r="AA507" s="942"/>
      <c r="AB507" s="254"/>
    </row>
    <row r="508" spans="1:29" ht="14.25">
      <c r="A508" s="464"/>
      <c r="B508" s="254"/>
      <c r="C508" s="254"/>
      <c r="D508" s="885"/>
      <c r="E508" s="886"/>
      <c r="F508" s="886"/>
      <c r="G508" s="887"/>
      <c r="H508" s="293"/>
      <c r="I508" s="885"/>
      <c r="J508" s="886"/>
      <c r="K508" s="886"/>
      <c r="L508" s="887"/>
      <c r="M508" s="293"/>
      <c r="N508" s="940"/>
      <c r="O508" s="941"/>
      <c r="P508" s="941"/>
      <c r="Q508" s="942"/>
      <c r="R508" s="293"/>
      <c r="S508" s="940"/>
      <c r="T508" s="941"/>
      <c r="U508" s="941"/>
      <c r="V508" s="942"/>
      <c r="W508" s="293"/>
      <c r="X508" s="940"/>
      <c r="Y508" s="941"/>
      <c r="Z508" s="941"/>
      <c r="AA508" s="942"/>
      <c r="AB508" s="254"/>
    </row>
    <row r="509" spans="1:29" ht="14.25">
      <c r="A509" s="464"/>
      <c r="B509" s="254"/>
      <c r="C509" s="254"/>
      <c r="D509" s="885"/>
      <c r="E509" s="886"/>
      <c r="F509" s="886"/>
      <c r="G509" s="887"/>
      <c r="H509" s="293"/>
      <c r="I509" s="885"/>
      <c r="J509" s="886"/>
      <c r="K509" s="886"/>
      <c r="L509" s="887"/>
      <c r="M509" s="293"/>
      <c r="N509" s="940"/>
      <c r="O509" s="941"/>
      <c r="P509" s="941"/>
      <c r="Q509" s="942"/>
      <c r="R509" s="293"/>
      <c r="S509" s="940"/>
      <c r="T509" s="941"/>
      <c r="U509" s="941"/>
      <c r="V509" s="942"/>
      <c r="W509" s="293"/>
      <c r="X509" s="940"/>
      <c r="Y509" s="941"/>
      <c r="Z509" s="941"/>
      <c r="AA509" s="942"/>
      <c r="AB509" s="254"/>
    </row>
    <row r="510" spans="1:29" ht="14.25">
      <c r="A510" s="464"/>
      <c r="B510" s="254"/>
      <c r="C510" s="254"/>
      <c r="D510" s="888"/>
      <c r="E510" s="889"/>
      <c r="F510" s="889"/>
      <c r="G510" s="890"/>
      <c r="H510" s="293"/>
      <c r="I510" s="888"/>
      <c r="J510" s="889"/>
      <c r="K510" s="889"/>
      <c r="L510" s="890"/>
      <c r="M510" s="293"/>
      <c r="N510" s="943"/>
      <c r="O510" s="944"/>
      <c r="P510" s="944"/>
      <c r="Q510" s="945"/>
      <c r="R510" s="293"/>
      <c r="S510" s="943"/>
      <c r="T510" s="944"/>
      <c r="U510" s="944"/>
      <c r="V510" s="945"/>
      <c r="W510" s="293"/>
      <c r="X510" s="943"/>
      <c r="Y510" s="944"/>
      <c r="Z510" s="944"/>
      <c r="AA510" s="945"/>
      <c r="AB510" s="254"/>
    </row>
    <row r="511" spans="1:29" ht="15">
      <c r="A511" s="464"/>
      <c r="B511" s="254"/>
      <c r="C511" s="254"/>
      <c r="D511" s="786" t="s">
        <v>210</v>
      </c>
      <c r="E511" s="787"/>
      <c r="F511" s="787"/>
      <c r="G511" s="788"/>
      <c r="H511" s="293"/>
      <c r="I511" s="786" t="s">
        <v>211</v>
      </c>
      <c r="J511" s="787"/>
      <c r="K511" s="787"/>
      <c r="L511" s="788"/>
      <c r="M511" s="293"/>
      <c r="N511" s="786" t="s">
        <v>212</v>
      </c>
      <c r="O511" s="787"/>
      <c r="P511" s="787"/>
      <c r="Q511" s="788"/>
      <c r="R511" s="293"/>
      <c r="S511" s="786" t="s">
        <v>443</v>
      </c>
      <c r="T511" s="787"/>
      <c r="U511" s="787"/>
      <c r="V511" s="788"/>
      <c r="W511" s="293"/>
      <c r="X511" s="786" t="s">
        <v>442</v>
      </c>
      <c r="Y511" s="787"/>
      <c r="Z511" s="787"/>
      <c r="AA511" s="788"/>
      <c r="AB511" s="254"/>
    </row>
    <row r="512" spans="1:29" s="193" customFormat="1" ht="27" customHeight="1">
      <c r="A512" s="467"/>
      <c r="B512" s="262"/>
      <c r="C512" s="262"/>
      <c r="D512" s="782" t="s">
        <v>110</v>
      </c>
      <c r="E512" s="783"/>
      <c r="F512" s="784"/>
      <c r="G512" s="785"/>
      <c r="H512" s="308"/>
      <c r="I512" s="782" t="s">
        <v>629</v>
      </c>
      <c r="J512" s="783"/>
      <c r="K512" s="784"/>
      <c r="L512" s="785"/>
      <c r="M512" s="308"/>
      <c r="N512" s="782" t="s">
        <v>471</v>
      </c>
      <c r="O512" s="783"/>
      <c r="P512" s="784"/>
      <c r="Q512" s="785"/>
      <c r="R512" s="308"/>
      <c r="S512" s="782" t="s">
        <v>630</v>
      </c>
      <c r="T512" s="783"/>
      <c r="U512" s="784"/>
      <c r="V512" s="785"/>
      <c r="W512" s="308"/>
      <c r="X512" s="782" t="s">
        <v>472</v>
      </c>
      <c r="Y512" s="783"/>
      <c r="Z512" s="784"/>
      <c r="AA512" s="785"/>
      <c r="AB512" s="262"/>
      <c r="AC512" s="397"/>
    </row>
    <row r="513" spans="1:29" ht="16.149999999999999" customHeight="1">
      <c r="A513" s="464"/>
      <c r="B513" s="254"/>
      <c r="C513" s="254"/>
      <c r="D513" s="935">
        <v>40</v>
      </c>
      <c r="E513" s="905"/>
      <c r="F513" s="884">
        <v>0</v>
      </c>
      <c r="G513" s="884"/>
      <c r="H513" s="293"/>
      <c r="I513" s="883">
        <v>20</v>
      </c>
      <c r="J513" s="847"/>
      <c r="K513" s="884">
        <v>0</v>
      </c>
      <c r="L513" s="884"/>
      <c r="M513" s="293"/>
      <c r="N513" s="935">
        <v>20</v>
      </c>
      <c r="O513" s="905"/>
      <c r="P513" s="884">
        <v>0</v>
      </c>
      <c r="Q513" s="884"/>
      <c r="R513" s="293"/>
      <c r="S513" s="935">
        <v>325</v>
      </c>
      <c r="T513" s="905"/>
      <c r="U513" s="884">
        <v>0</v>
      </c>
      <c r="V513" s="884"/>
      <c r="W513" s="333"/>
      <c r="X513" s="935">
        <v>40</v>
      </c>
      <c r="Y513" s="905"/>
      <c r="Z513" s="884">
        <v>0</v>
      </c>
      <c r="AA513" s="884"/>
      <c r="AB513" s="254"/>
    </row>
    <row r="514" spans="1:29" ht="14.25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>
      <c r="A515" s="464"/>
      <c r="B515" s="254"/>
      <c r="C515" s="254"/>
      <c r="D515" s="802"/>
      <c r="E515" s="803"/>
      <c r="F515" s="803"/>
      <c r="G515" s="804"/>
      <c r="H515" s="293"/>
      <c r="I515" s="802"/>
      <c r="J515" s="803"/>
      <c r="K515" s="803"/>
      <c r="L515" s="804"/>
      <c r="M515" s="293"/>
      <c r="N515" s="802"/>
      <c r="O515" s="803"/>
      <c r="P515" s="803"/>
      <c r="Q515" s="804"/>
      <c r="R515" s="293"/>
      <c r="S515" s="802"/>
      <c r="T515" s="803"/>
      <c r="U515" s="803"/>
      <c r="V515" s="804"/>
      <c r="W515" s="293"/>
      <c r="X515" s="319"/>
      <c r="Y515" s="319"/>
      <c r="Z515" s="320"/>
      <c r="AA515" s="321"/>
      <c r="AB515" s="254"/>
    </row>
    <row r="516" spans="1:29" ht="14.25">
      <c r="A516" s="464"/>
      <c r="B516" s="254"/>
      <c r="C516" s="254"/>
      <c r="D516" s="796"/>
      <c r="E516" s="797"/>
      <c r="F516" s="797"/>
      <c r="G516" s="798"/>
      <c r="H516" s="293"/>
      <c r="I516" s="885"/>
      <c r="J516" s="886"/>
      <c r="K516" s="886"/>
      <c r="L516" s="887"/>
      <c r="M516" s="293"/>
      <c r="N516" s="796"/>
      <c r="O516" s="797"/>
      <c r="P516" s="797"/>
      <c r="Q516" s="798"/>
      <c r="R516" s="293"/>
      <c r="S516" s="796"/>
      <c r="T516" s="797"/>
      <c r="U516" s="797"/>
      <c r="V516" s="798"/>
      <c r="W516" s="293"/>
      <c r="X516" s="319"/>
      <c r="Y516" s="319"/>
      <c r="Z516" s="320"/>
      <c r="AA516" s="321"/>
      <c r="AB516" s="254"/>
    </row>
    <row r="517" spans="1:29" ht="14.25">
      <c r="A517" s="464"/>
      <c r="B517" s="254"/>
      <c r="C517" s="254"/>
      <c r="D517" s="316"/>
      <c r="E517" s="317"/>
      <c r="F517" s="317"/>
      <c r="G517" s="318"/>
      <c r="H517" s="293"/>
      <c r="I517" s="885"/>
      <c r="J517" s="886"/>
      <c r="K517" s="886"/>
      <c r="L517" s="887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>
      <c r="A518" s="464"/>
      <c r="B518" s="254"/>
      <c r="C518" s="254"/>
      <c r="D518" s="796"/>
      <c r="E518" s="797"/>
      <c r="F518" s="797"/>
      <c r="G518" s="798"/>
      <c r="H518" s="293"/>
      <c r="I518" s="885"/>
      <c r="J518" s="886"/>
      <c r="K518" s="886"/>
      <c r="L518" s="887"/>
      <c r="M518" s="293"/>
      <c r="N518" s="796"/>
      <c r="O518" s="797"/>
      <c r="P518" s="797"/>
      <c r="Q518" s="798"/>
      <c r="R518" s="293"/>
      <c r="S518" s="796"/>
      <c r="T518" s="797"/>
      <c r="U518" s="797"/>
      <c r="V518" s="798"/>
      <c r="W518" s="293"/>
      <c r="X518" s="319"/>
      <c r="Y518" s="319"/>
      <c r="Z518" s="320"/>
      <c r="AA518" s="321"/>
      <c r="AB518" s="254"/>
    </row>
    <row r="519" spans="1:29" ht="14.25">
      <c r="A519" s="464"/>
      <c r="B519" s="254"/>
      <c r="C519" s="254"/>
      <c r="D519" s="796"/>
      <c r="E519" s="797"/>
      <c r="F519" s="797"/>
      <c r="G519" s="798"/>
      <c r="H519" s="293"/>
      <c r="I519" s="885"/>
      <c r="J519" s="886"/>
      <c r="K519" s="886"/>
      <c r="L519" s="887"/>
      <c r="M519" s="293"/>
      <c r="N519" s="796"/>
      <c r="O519" s="797"/>
      <c r="P519" s="797"/>
      <c r="Q519" s="798"/>
      <c r="R519" s="293"/>
      <c r="S519" s="796"/>
      <c r="T519" s="797"/>
      <c r="U519" s="797"/>
      <c r="V519" s="798"/>
      <c r="W519" s="293"/>
      <c r="X519" s="319"/>
      <c r="Y519" s="319"/>
      <c r="Z519" s="320"/>
      <c r="AA519" s="321"/>
      <c r="AB519" s="254"/>
    </row>
    <row r="520" spans="1:29" ht="14.25">
      <c r="A520" s="464"/>
      <c r="B520" s="254"/>
      <c r="C520" s="254"/>
      <c r="D520" s="799"/>
      <c r="E520" s="800"/>
      <c r="F520" s="800"/>
      <c r="G520" s="801"/>
      <c r="H520" s="293"/>
      <c r="I520" s="888"/>
      <c r="J520" s="889"/>
      <c r="K520" s="889"/>
      <c r="L520" s="890"/>
      <c r="M520" s="293"/>
      <c r="N520" s="799"/>
      <c r="O520" s="800"/>
      <c r="P520" s="800"/>
      <c r="Q520" s="801"/>
      <c r="R520" s="293"/>
      <c r="S520" s="799"/>
      <c r="T520" s="800"/>
      <c r="U520" s="800"/>
      <c r="V520" s="801"/>
      <c r="W520" s="293"/>
      <c r="X520" s="319"/>
      <c r="Y520" s="319"/>
      <c r="Z520" s="320"/>
      <c r="AA520" s="321"/>
      <c r="AB520" s="254"/>
    </row>
    <row r="521" spans="1:29" ht="13.9" customHeight="1">
      <c r="A521" s="464"/>
      <c r="B521" s="254"/>
      <c r="C521" s="254"/>
      <c r="D521" s="786" t="s">
        <v>209</v>
      </c>
      <c r="E521" s="787"/>
      <c r="F521" s="787"/>
      <c r="G521" s="788"/>
      <c r="H521" s="293"/>
      <c r="I521" s="813" t="s">
        <v>213</v>
      </c>
      <c r="J521" s="814"/>
      <c r="K521" s="814"/>
      <c r="L521" s="815"/>
      <c r="M521" s="293"/>
      <c r="N521" s="1149" t="s">
        <v>208</v>
      </c>
      <c r="O521" s="836"/>
      <c r="P521" s="836"/>
      <c r="Q521" s="1150"/>
      <c r="R521" s="293"/>
      <c r="S521" s="1151" t="s">
        <v>413</v>
      </c>
      <c r="T521" s="1151"/>
      <c r="U521" s="1151"/>
      <c r="V521" s="1151"/>
      <c r="W521" s="293"/>
      <c r="X521" s="319"/>
      <c r="Y521" s="319"/>
      <c r="Z521" s="320"/>
      <c r="AA521" s="321"/>
      <c r="AB521" s="254"/>
    </row>
    <row r="522" spans="1:29" ht="27" customHeight="1">
      <c r="A522" s="464"/>
      <c r="B522" s="254"/>
      <c r="C522" s="254"/>
      <c r="D522" s="782" t="s">
        <v>632</v>
      </c>
      <c r="E522" s="783"/>
      <c r="F522" s="784"/>
      <c r="G522" s="785"/>
      <c r="H522" s="308"/>
      <c r="I522" s="782" t="s">
        <v>631</v>
      </c>
      <c r="J522" s="783"/>
      <c r="K522" s="784"/>
      <c r="L522" s="785"/>
      <c r="M522" s="293"/>
      <c r="N522" s="782" t="s">
        <v>627</v>
      </c>
      <c r="O522" s="783"/>
      <c r="P522" s="784"/>
      <c r="Q522" s="785"/>
      <c r="R522" s="308"/>
      <c r="S522" s="1142" t="s">
        <v>628</v>
      </c>
      <c r="T522" s="1143"/>
      <c r="U522" s="1144"/>
      <c r="V522" s="1145"/>
      <c r="W522" s="293"/>
      <c r="X522" s="319"/>
      <c r="Y522" s="319"/>
      <c r="Z522" s="320"/>
      <c r="AA522" s="321"/>
      <c r="AB522" s="254"/>
    </row>
    <row r="523" spans="1:29" ht="16.149999999999999" customHeight="1">
      <c r="A523" s="464"/>
      <c r="B523" s="254"/>
      <c r="C523" s="254"/>
      <c r="D523" s="883">
        <v>38</v>
      </c>
      <c r="E523" s="847"/>
      <c r="F523" s="884">
        <v>0</v>
      </c>
      <c r="G523" s="884"/>
      <c r="H523" s="293"/>
      <c r="I523" s="883">
        <v>10</v>
      </c>
      <c r="J523" s="847"/>
      <c r="K523" s="884">
        <v>0</v>
      </c>
      <c r="L523" s="884"/>
      <c r="M523" s="293"/>
      <c r="N523" s="1152">
        <v>9</v>
      </c>
      <c r="O523" s="1153"/>
      <c r="P523" s="1154">
        <v>0</v>
      </c>
      <c r="Q523" s="1155"/>
      <c r="R523" s="293"/>
      <c r="S523" s="883">
        <v>30</v>
      </c>
      <c r="T523" s="847"/>
      <c r="U523" s="884">
        <v>0</v>
      </c>
      <c r="V523" s="884"/>
      <c r="W523" s="293"/>
      <c r="X523" s="319"/>
      <c r="Y523" s="319"/>
      <c r="Z523" s="320"/>
      <c r="AA523" s="321"/>
      <c r="AB523" s="254"/>
    </row>
    <row r="524" spans="1:29" ht="27" customHeight="1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>
      <c r="B526" s="442"/>
      <c r="C526" s="1147"/>
      <c r="D526" s="1148"/>
      <c r="E526" s="1147"/>
      <c r="F526" s="1147"/>
      <c r="G526" s="1147"/>
      <c r="H526" s="1147"/>
      <c r="I526" s="1147"/>
      <c r="J526" s="1147"/>
      <c r="K526" s="1147"/>
      <c r="L526" s="1147"/>
      <c r="M526" s="1147"/>
      <c r="N526" s="1147"/>
      <c r="O526" s="1147"/>
      <c r="P526" s="1147"/>
      <c r="Q526" s="1147"/>
      <c r="R526" s="1147"/>
      <c r="S526" s="1147"/>
      <c r="T526" s="1147"/>
      <c r="U526" s="1147"/>
      <c r="V526" s="1147"/>
      <c r="W526" s="1147"/>
      <c r="X526" s="1147"/>
      <c r="Y526" s="1147"/>
      <c r="Z526" s="1147"/>
      <c r="AA526" s="1147"/>
      <c r="AB526" s="442"/>
      <c r="AC526" s="430"/>
    </row>
    <row r="527" spans="1:29" s="205" customFormat="1" ht="14.25">
      <c r="B527" s="431"/>
      <c r="C527" s="431"/>
      <c r="D527" s="443"/>
      <c r="E527" s="1181"/>
      <c r="F527" s="1181"/>
      <c r="G527" s="1181"/>
      <c r="H527" s="1181"/>
      <c r="I527" s="1181"/>
      <c r="J527" s="1181"/>
      <c r="K527" s="1181"/>
      <c r="L527" s="1181"/>
      <c r="M527" s="1181"/>
      <c r="N527" s="1181"/>
      <c r="O527" s="1181"/>
      <c r="P527" s="1181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">
      <c r="B528" s="446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446"/>
      <c r="AC528" s="431"/>
    </row>
    <row r="529" spans="2:29" s="205" customFormat="1" ht="5.0999999999999996" customHeight="1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>
      <c r="B530" s="448"/>
      <c r="C530" s="448"/>
      <c r="D530" s="1146"/>
      <c r="E530" s="1146"/>
      <c r="F530" s="1146"/>
      <c r="G530" s="1146"/>
      <c r="H530" s="1146"/>
      <c r="I530" s="1146"/>
      <c r="J530" s="1146"/>
      <c r="K530" s="1146"/>
      <c r="L530" s="1146"/>
      <c r="M530" s="1146"/>
      <c r="N530" s="1146"/>
      <c r="O530" s="1146"/>
      <c r="P530" s="1146"/>
      <c r="Q530" s="1146"/>
      <c r="R530" s="1146"/>
      <c r="S530" s="1146"/>
      <c r="T530" s="1146"/>
      <c r="U530" s="1146"/>
      <c r="V530" s="1146"/>
      <c r="W530" s="1146"/>
      <c r="X530" s="1146"/>
      <c r="Y530" s="1146"/>
      <c r="Z530" s="1146"/>
      <c r="AA530" s="1146"/>
      <c r="AB530" s="448"/>
      <c r="AC530" s="431"/>
    </row>
    <row r="531" spans="2:29" s="205" customFormat="1" ht="27" customHeight="1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>
      <c r="B532" s="1201" t="s">
        <v>486</v>
      </c>
      <c r="C532" s="1201"/>
      <c r="D532" s="1201"/>
      <c r="E532" s="1201"/>
      <c r="F532" s="1201"/>
      <c r="G532" s="1201"/>
      <c r="H532" s="1201"/>
      <c r="I532" s="1201"/>
      <c r="J532" s="1201"/>
      <c r="K532" s="1201"/>
      <c r="L532" s="1201"/>
      <c r="M532" s="1201"/>
      <c r="N532" s="1201"/>
      <c r="O532" s="1201"/>
      <c r="P532" s="1201"/>
      <c r="Q532" s="1201"/>
      <c r="R532" s="450"/>
      <c r="S532" s="1202" t="s">
        <v>487</v>
      </c>
      <c r="T532" s="1202"/>
      <c r="U532" s="1202"/>
      <c r="V532" s="1202"/>
      <c r="W532" s="1202"/>
      <c r="X532" s="1202"/>
      <c r="Y532" s="1202"/>
      <c r="Z532" s="1202"/>
      <c r="AA532" s="1202"/>
      <c r="AB532" s="1202"/>
      <c r="AC532" s="431"/>
    </row>
    <row r="533" spans="2:29" s="488" customFormat="1" ht="27" customHeight="1">
      <c r="B533" s="1125" t="s">
        <v>488</v>
      </c>
      <c r="C533" s="1125"/>
      <c r="D533" s="1125"/>
      <c r="E533" s="1125"/>
      <c r="F533" s="1125"/>
      <c r="G533" s="1125"/>
      <c r="H533" s="1210"/>
      <c r="I533" s="1211"/>
      <c r="J533" s="1211"/>
      <c r="K533" s="1211"/>
      <c r="L533" s="1211"/>
      <c r="M533" s="1211"/>
      <c r="N533" s="1211"/>
      <c r="O533" s="1211"/>
      <c r="P533" s="1211"/>
      <c r="Q533" s="1212"/>
      <c r="R533" s="451"/>
      <c r="S533" s="1158" t="s">
        <v>13</v>
      </c>
      <c r="T533" s="1159"/>
      <c r="U533" s="1159"/>
      <c r="V533" s="1159"/>
      <c r="W533" s="1159"/>
      <c r="X533" s="1160"/>
      <c r="Y533" s="1134">
        <f>Resume!O18</f>
        <v>260</v>
      </c>
      <c r="Z533" s="1135"/>
      <c r="AA533" s="1135"/>
      <c r="AB533" s="1135"/>
      <c r="AC533" s="487"/>
    </row>
    <row r="534" spans="2:29" s="488" customFormat="1" ht="27" customHeight="1">
      <c r="B534" s="1125" t="s">
        <v>489</v>
      </c>
      <c r="C534" s="1125"/>
      <c r="D534" s="1125"/>
      <c r="E534" s="1125"/>
      <c r="F534" s="1125"/>
      <c r="G534" s="1125"/>
      <c r="H534" s="1210"/>
      <c r="I534" s="1211"/>
      <c r="J534" s="1211"/>
      <c r="K534" s="1211"/>
      <c r="L534" s="1211"/>
      <c r="M534" s="1211"/>
      <c r="N534" s="1211"/>
      <c r="O534" s="1211"/>
      <c r="P534" s="1211"/>
      <c r="Q534" s="1212"/>
      <c r="R534" s="451"/>
      <c r="S534" s="1158" t="s">
        <v>1</v>
      </c>
      <c r="T534" s="1159"/>
      <c r="U534" s="1159"/>
      <c r="V534" s="1159"/>
      <c r="W534" s="1159"/>
      <c r="X534" s="1160"/>
      <c r="Y534" s="1136">
        <f>Resume!O29</f>
        <v>222.39999999999998</v>
      </c>
      <c r="Z534" s="1135"/>
      <c r="AA534" s="1135"/>
      <c r="AB534" s="1135"/>
      <c r="AC534" s="487"/>
    </row>
    <row r="535" spans="2:29" s="488" customFormat="1" ht="27" customHeight="1">
      <c r="B535" s="1125" t="s">
        <v>490</v>
      </c>
      <c r="C535" s="1125"/>
      <c r="D535" s="1125"/>
      <c r="E535" s="1125"/>
      <c r="F535" s="1125"/>
      <c r="G535" s="1125"/>
      <c r="H535" s="1210"/>
      <c r="I535" s="1211"/>
      <c r="J535" s="1211"/>
      <c r="K535" s="1211"/>
      <c r="L535" s="1211"/>
      <c r="M535" s="1211"/>
      <c r="N535" s="1211"/>
      <c r="O535" s="1211"/>
      <c r="P535" s="1211"/>
      <c r="Q535" s="1212"/>
      <c r="R535" s="495"/>
      <c r="S535" s="1158" t="s">
        <v>314</v>
      </c>
      <c r="T535" s="1159"/>
      <c r="U535" s="1159"/>
      <c r="V535" s="1159"/>
      <c r="W535" s="1159"/>
      <c r="X535" s="1160"/>
      <c r="Y535" s="1134">
        <f>Resume!O71</f>
        <v>221.83999999999997</v>
      </c>
      <c r="Z535" s="1135"/>
      <c r="AA535" s="1135"/>
      <c r="AB535" s="1135"/>
      <c r="AC535" s="487"/>
    </row>
    <row r="536" spans="2:29" s="488" customFormat="1" ht="27" customHeight="1">
      <c r="B536" s="1125" t="s">
        <v>491</v>
      </c>
      <c r="C536" s="1125"/>
      <c r="D536" s="1125"/>
      <c r="E536" s="1125"/>
      <c r="F536" s="1125"/>
      <c r="G536" s="1125"/>
      <c r="H536" s="1213"/>
      <c r="I536" s="1214"/>
      <c r="J536" s="1214"/>
      <c r="K536" s="1214"/>
      <c r="L536" s="1214"/>
      <c r="M536" s="1214"/>
      <c r="N536" s="1214"/>
      <c r="O536" s="1214"/>
      <c r="P536" s="1214"/>
      <c r="Q536" s="1215"/>
      <c r="R536" s="495"/>
      <c r="S536" s="1158" t="s">
        <v>315</v>
      </c>
      <c r="T536" s="1159"/>
      <c r="U536" s="1159"/>
      <c r="V536" s="1159"/>
      <c r="W536" s="1159"/>
      <c r="X536" s="1160"/>
      <c r="Y536" s="1136">
        <f>Resume!O111</f>
        <v>0</v>
      </c>
      <c r="Z536" s="1135"/>
      <c r="AA536" s="1135"/>
      <c r="AB536" s="1135"/>
      <c r="AC536" s="487"/>
    </row>
    <row r="537" spans="2:29" s="488" customFormat="1" ht="27" customHeight="1">
      <c r="B537" s="1125" t="s">
        <v>492</v>
      </c>
      <c r="C537" s="1125"/>
      <c r="D537" s="1125"/>
      <c r="E537" s="1125"/>
      <c r="F537" s="1125"/>
      <c r="G537" s="1125"/>
      <c r="H537" s="1210"/>
      <c r="I537" s="1211"/>
      <c r="J537" s="1211"/>
      <c r="K537" s="1211"/>
      <c r="L537" s="1211"/>
      <c r="M537" s="1211"/>
      <c r="N537" s="1211"/>
      <c r="O537" s="1211"/>
      <c r="P537" s="1211"/>
      <c r="Q537" s="1212"/>
      <c r="R537" s="495"/>
      <c r="S537" s="1158" t="s">
        <v>14</v>
      </c>
      <c r="T537" s="1159"/>
      <c r="U537" s="1159"/>
      <c r="V537" s="1159"/>
      <c r="W537" s="1159"/>
      <c r="X537" s="1160"/>
      <c r="Y537" s="1136">
        <f>Resume!O152</f>
        <v>83.289999999999992</v>
      </c>
      <c r="Z537" s="1135"/>
      <c r="AA537" s="1135"/>
      <c r="AB537" s="1135"/>
      <c r="AC537" s="487"/>
    </row>
    <row r="538" spans="2:29" s="488" customFormat="1" ht="27" customHeight="1">
      <c r="B538" s="1125" t="s">
        <v>493</v>
      </c>
      <c r="C538" s="1125"/>
      <c r="D538" s="1125"/>
      <c r="E538" s="1125"/>
      <c r="F538" s="1125"/>
      <c r="G538" s="1125"/>
      <c r="H538" s="1216" t="s">
        <v>406</v>
      </c>
      <c r="I538" s="1217"/>
      <c r="J538" s="1217"/>
      <c r="K538" s="1217"/>
      <c r="L538" s="1217"/>
      <c r="M538" s="1217"/>
      <c r="N538" s="1217"/>
      <c r="O538" s="1217"/>
      <c r="P538" s="1217"/>
      <c r="Q538" s="1218"/>
      <c r="R538" s="496"/>
      <c r="S538" s="1158" t="s">
        <v>485</v>
      </c>
      <c r="T538" s="1159"/>
      <c r="U538" s="1159"/>
      <c r="V538" s="1159"/>
      <c r="W538" s="1159"/>
      <c r="X538" s="1160"/>
      <c r="Y538" s="1121">
        <f>Resume!O156</f>
        <v>540</v>
      </c>
      <c r="Z538" s="1121"/>
      <c r="AA538" s="1121"/>
      <c r="AB538" s="1121"/>
      <c r="AC538" s="487"/>
    </row>
    <row r="539" spans="2:29" s="488" customFormat="1" ht="27" customHeight="1">
      <c r="B539" s="1125" t="s">
        <v>494</v>
      </c>
      <c r="C539" s="1125"/>
      <c r="D539" s="1125"/>
      <c r="E539" s="1125"/>
      <c r="F539" s="1125"/>
      <c r="G539" s="1125"/>
      <c r="H539" s="1219"/>
      <c r="I539" s="1220"/>
      <c r="J539" s="1220"/>
      <c r="K539" s="1220"/>
      <c r="L539" s="1220"/>
      <c r="M539" s="1220"/>
      <c r="N539" s="1220"/>
      <c r="O539" s="1220"/>
      <c r="P539" s="1220"/>
      <c r="Q539" s="1221"/>
      <c r="R539" s="495"/>
      <c r="S539" s="1158" t="s">
        <v>112</v>
      </c>
      <c r="T539" s="1159"/>
      <c r="U539" s="1159"/>
      <c r="V539" s="1159"/>
      <c r="W539" s="1159"/>
      <c r="X539" s="1160"/>
      <c r="Y539" s="1134">
        <f>Resume!O176</f>
        <v>0</v>
      </c>
      <c r="Z539" s="1135"/>
      <c r="AA539" s="1135"/>
      <c r="AB539" s="1135"/>
      <c r="AC539" s="487"/>
    </row>
    <row r="540" spans="2:29" s="488" customFormat="1" ht="27" customHeight="1">
      <c r="B540" s="1125" t="s">
        <v>495</v>
      </c>
      <c r="C540" s="1125"/>
      <c r="D540" s="1125"/>
      <c r="E540" s="1125"/>
      <c r="F540" s="1125"/>
      <c r="G540" s="1125"/>
      <c r="H540" s="1222" t="s">
        <v>503</v>
      </c>
      <c r="I540" s="1223"/>
      <c r="J540" s="1223"/>
      <c r="K540" s="1223"/>
      <c r="L540" s="1223"/>
      <c r="M540" s="1223"/>
      <c r="N540" s="1223"/>
      <c r="O540" s="1223"/>
      <c r="P540" s="1223"/>
      <c r="Q540" s="1224"/>
      <c r="R540" s="497"/>
      <c r="S540" s="1158" t="s">
        <v>513</v>
      </c>
      <c r="T540" s="1159"/>
      <c r="U540" s="1159"/>
      <c r="V540" s="1159"/>
      <c r="W540" s="1159"/>
      <c r="X540" s="1160"/>
      <c r="Y540" s="1135">
        <f>Resume!O179</f>
        <v>175</v>
      </c>
      <c r="Z540" s="1135"/>
      <c r="AA540" s="1135"/>
      <c r="AB540" s="1135"/>
      <c r="AC540" s="487"/>
    </row>
    <row r="541" spans="2:29" s="488" customFormat="1" ht="27" customHeight="1">
      <c r="B541" s="1125" t="s">
        <v>496</v>
      </c>
      <c r="C541" s="1125"/>
      <c r="D541" s="1125"/>
      <c r="E541" s="1125"/>
      <c r="F541" s="1125"/>
      <c r="G541" s="1125"/>
      <c r="H541" s="1219"/>
      <c r="I541" s="1220"/>
      <c r="J541" s="1220"/>
      <c r="K541" s="1220"/>
      <c r="L541" s="1220"/>
      <c r="M541" s="1220"/>
      <c r="N541" s="1220"/>
      <c r="O541" s="1220"/>
      <c r="P541" s="1220"/>
      <c r="Q541" s="1221"/>
      <c r="R541" s="495"/>
      <c r="S541" s="1158" t="s">
        <v>113</v>
      </c>
      <c r="T541" s="1159"/>
      <c r="U541" s="1159"/>
      <c r="V541" s="1159"/>
      <c r="W541" s="1159"/>
      <c r="X541" s="1160"/>
      <c r="Y541" s="1121">
        <f>Resume!O213</f>
        <v>0</v>
      </c>
      <c r="Z541" s="1121"/>
      <c r="AA541" s="1121"/>
      <c r="AB541" s="1121"/>
      <c r="AC541" s="487"/>
    </row>
    <row r="542" spans="2:29" s="488" customFormat="1" ht="27" customHeight="1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61" t="s">
        <v>19</v>
      </c>
      <c r="T542" s="1162"/>
      <c r="U542" s="1162"/>
      <c r="V542" s="1162"/>
      <c r="W542" s="1162"/>
      <c r="X542" s="1163"/>
      <c r="Y542" s="1157">
        <v>0</v>
      </c>
      <c r="Z542" s="1157"/>
      <c r="AA542" s="1157"/>
      <c r="AB542" s="1157"/>
      <c r="AC542" s="487"/>
    </row>
    <row r="543" spans="2:29" s="488" customFormat="1" ht="27" customHeight="1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90" t="s">
        <v>19</v>
      </c>
      <c r="T543" s="1191"/>
      <c r="U543" s="1191"/>
      <c r="V543" s="1191"/>
      <c r="W543" s="1191"/>
      <c r="X543" s="1191"/>
      <c r="Y543" s="1176">
        <v>0</v>
      </c>
      <c r="Z543" s="1177"/>
      <c r="AA543" s="1177"/>
      <c r="AB543" s="1178"/>
      <c r="AC543" s="487"/>
    </row>
    <row r="544" spans="2:29" s="488" customFormat="1" ht="27" customHeight="1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2" t="s">
        <v>15</v>
      </c>
      <c r="T544" s="1193"/>
      <c r="U544" s="1193"/>
      <c r="V544" s="1193"/>
      <c r="W544" s="1193"/>
      <c r="X544" s="1194"/>
      <c r="Y544" s="1173">
        <f>SUM(Y533:Y543)</f>
        <v>1502.53</v>
      </c>
      <c r="Z544" s="1174"/>
      <c r="AA544" s="1174"/>
      <c r="AB544" s="1175"/>
      <c r="AC544" s="487"/>
    </row>
    <row r="545" spans="2:29" s="488" customFormat="1" ht="27" customHeight="1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5" t="s">
        <v>18</v>
      </c>
      <c r="T545" s="1196"/>
      <c r="U545" s="1196"/>
      <c r="V545" s="1196"/>
      <c r="W545" s="1196"/>
      <c r="X545" s="1197"/>
      <c r="Y545" s="1167">
        <f>IF(Y544&lt;100,25,0)</f>
        <v>0</v>
      </c>
      <c r="Z545" s="1168"/>
      <c r="AA545" s="1168"/>
      <c r="AB545" s="1169"/>
      <c r="AC545" s="487"/>
    </row>
    <row r="546" spans="2:29" s="488" customFormat="1" ht="27" customHeight="1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8" t="s">
        <v>20</v>
      </c>
      <c r="T546" s="1159"/>
      <c r="U546" s="1159"/>
      <c r="V546" s="1159"/>
      <c r="W546" s="1159"/>
      <c r="X546" s="1159"/>
      <c r="Y546" s="1170">
        <v>0</v>
      </c>
      <c r="Z546" s="1171"/>
      <c r="AA546" s="1171"/>
      <c r="AB546" s="1172"/>
      <c r="AC546" s="487"/>
    </row>
    <row r="547" spans="2:29" s="488" customFormat="1" ht="27" customHeight="1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90" t="s">
        <v>21</v>
      </c>
      <c r="T547" s="1191"/>
      <c r="U547" s="1191"/>
      <c r="V547" s="1191"/>
      <c r="W547" s="1191"/>
      <c r="X547" s="1191"/>
      <c r="Y547" s="1170">
        <v>0</v>
      </c>
      <c r="Z547" s="1171"/>
      <c r="AA547" s="1171"/>
      <c r="AB547" s="1172"/>
      <c r="AC547" s="487"/>
    </row>
    <row r="548" spans="2:29" s="488" customFormat="1" ht="27" customHeight="1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8" t="s">
        <v>6</v>
      </c>
      <c r="T548" s="1199"/>
      <c r="U548" s="1199"/>
      <c r="V548" s="1199"/>
      <c r="W548" s="1199"/>
      <c r="X548" s="1200"/>
      <c r="Y548" s="1164">
        <f>Y544+Y545+Y546+Y547</f>
        <v>1502.53</v>
      </c>
      <c r="Z548" s="1165"/>
      <c r="AA548" s="1165"/>
      <c r="AB548" s="1166"/>
      <c r="AC548" s="487"/>
    </row>
    <row r="551" spans="2:29" hidden="1">
      <c r="D551" s="188" t="s">
        <v>434</v>
      </c>
    </row>
    <row r="552" spans="2:29" hidden="1">
      <c r="D552" s="188" t="s">
        <v>435</v>
      </c>
    </row>
    <row r="553" spans="2:29" hidden="1"/>
    <row r="554" spans="2:29" hidden="1">
      <c r="D554" s="206" t="s">
        <v>473</v>
      </c>
    </row>
    <row r="555" spans="2:29" hidden="1">
      <c r="D555" s="206" t="s">
        <v>474</v>
      </c>
    </row>
    <row r="562" spans="2:2" hidden="1">
      <c r="B562" s="206">
        <v>0</v>
      </c>
    </row>
    <row r="563" spans="2:2" hidden="1">
      <c r="B563" s="206">
        <v>200</v>
      </c>
    </row>
    <row r="564" spans="2:2" hidden="1">
      <c r="B564" s="206">
        <v>400</v>
      </c>
    </row>
    <row r="565" spans="2:2" hidden="1">
      <c r="B565" s="206">
        <v>600</v>
      </c>
    </row>
    <row r="566" spans="2:2" hidden="1">
      <c r="B566" s="206">
        <v>800</v>
      </c>
    </row>
    <row r="567" spans="2:2" hidden="1">
      <c r="B567" s="206">
        <v>1000</v>
      </c>
    </row>
    <row r="568" spans="2:2" hidden="1">
      <c r="B568" s="206">
        <v>1200</v>
      </c>
    </row>
    <row r="569" spans="2:2" hidden="1">
      <c r="B569" s="206">
        <v>1400</v>
      </c>
    </row>
    <row r="570" spans="2:2" hidden="1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K120:L120"/>
    <mergeCell ref="U100:V100"/>
    <mergeCell ref="N103:Q103"/>
    <mergeCell ref="S100:T100"/>
    <mergeCell ref="S104:V104"/>
    <mergeCell ref="S384:V384"/>
    <mergeCell ref="N104:Q104"/>
    <mergeCell ref="I108:L108"/>
    <mergeCell ref="I126:L126"/>
    <mergeCell ref="I119:L119"/>
    <mergeCell ref="S130:V130"/>
    <mergeCell ref="S129:V129"/>
    <mergeCell ref="I196:L196"/>
    <mergeCell ref="U178:V17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I246:L246"/>
    <mergeCell ref="X319:AA319"/>
    <mergeCell ref="X346:AA346"/>
    <mergeCell ref="D284:G284"/>
    <mergeCell ref="F243:G243"/>
    <mergeCell ref="D246:G246"/>
    <mergeCell ref="I141:L141"/>
    <mergeCell ref="I142:L142"/>
    <mergeCell ref="N134:O134"/>
    <mergeCell ref="S186:V186"/>
    <mergeCell ref="S185:V185"/>
    <mergeCell ref="N184:Q184"/>
    <mergeCell ref="X196:AA196"/>
    <mergeCell ref="S280:V285"/>
    <mergeCell ref="S295:V295"/>
    <mergeCell ref="I287:L287"/>
    <mergeCell ref="X286:AA286"/>
    <mergeCell ref="X240:AA240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S230:V230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N239:Q239"/>
    <mergeCell ref="I230:L230"/>
    <mergeCell ref="I314:L314"/>
    <mergeCell ref="I241:L241"/>
    <mergeCell ref="U243:V243"/>
    <mergeCell ref="I243:J243"/>
    <mergeCell ref="I260:L260"/>
    <mergeCell ref="N336:Q336"/>
    <mergeCell ref="I265:J265"/>
    <mergeCell ref="K265:L265"/>
    <mergeCell ref="I258:L258"/>
    <mergeCell ref="N258:Q258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Z243:AA243"/>
    <mergeCell ref="X306:AA306"/>
    <mergeCell ref="X320:AA320"/>
    <mergeCell ref="X242:AA242"/>
    <mergeCell ref="Z232:AA232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N272:Q272"/>
    <mergeCell ref="X511:AA511"/>
    <mergeCell ref="U265:V265"/>
    <mergeCell ref="N253:Q253"/>
    <mergeCell ref="I375:L375"/>
    <mergeCell ref="I399:L399"/>
    <mergeCell ref="N432:Q432"/>
    <mergeCell ref="N433:Q433"/>
    <mergeCell ref="S342:V342"/>
    <mergeCell ref="F277:G277"/>
    <mergeCell ref="N261:Q261"/>
    <mergeCell ref="D262:G262"/>
    <mergeCell ref="I262:L262"/>
    <mergeCell ref="D433:G433"/>
    <mergeCell ref="I433:L433"/>
    <mergeCell ref="I328:L328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D230:G230"/>
    <mergeCell ref="S227:V227"/>
    <mergeCell ref="Z198:AA198"/>
    <mergeCell ref="X188:Y188"/>
    <mergeCell ref="I374:L374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I231:L231"/>
    <mergeCell ref="N252:Q252"/>
    <mergeCell ref="S252:V252"/>
    <mergeCell ref="P265:Q265"/>
    <mergeCell ref="X245:AA250"/>
    <mergeCell ref="D236:G236"/>
    <mergeCell ref="D257:G257"/>
    <mergeCell ref="I236:L236"/>
    <mergeCell ref="S118:V118"/>
    <mergeCell ref="S147:V152"/>
    <mergeCell ref="X230:AA230"/>
    <mergeCell ref="S198:T198"/>
    <mergeCell ref="X269:AA269"/>
    <mergeCell ref="X223:AA223"/>
    <mergeCell ref="N264:Q264"/>
    <mergeCell ref="N260:Q260"/>
    <mergeCell ref="N263:Q263"/>
    <mergeCell ref="D113:G118"/>
    <mergeCell ref="D175:G175"/>
    <mergeCell ref="D228:G228"/>
    <mergeCell ref="F188:G188"/>
    <mergeCell ref="F120:G120"/>
    <mergeCell ref="I155:L155"/>
    <mergeCell ref="I207:L207"/>
    <mergeCell ref="D234:G234"/>
    <mergeCell ref="I224:L224"/>
    <mergeCell ref="F178:G178"/>
    <mergeCell ref="F232:G232"/>
    <mergeCell ref="D208:E208"/>
    <mergeCell ref="F208:G208"/>
    <mergeCell ref="I208:J208"/>
    <mergeCell ref="F265:G265"/>
    <mergeCell ref="D258:G258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N236:Q236"/>
    <mergeCell ref="X103:AA103"/>
    <mergeCell ref="S106:V106"/>
    <mergeCell ref="U167:V167"/>
    <mergeCell ref="N155:Q155"/>
    <mergeCell ref="N185:Q185"/>
    <mergeCell ref="X208:Y208"/>
    <mergeCell ref="X192:AA192"/>
    <mergeCell ref="X191:AA191"/>
    <mergeCell ref="X224:AA224"/>
    <mergeCell ref="N224:Q224"/>
    <mergeCell ref="S232:T232"/>
    <mergeCell ref="S208:T208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I185:L185"/>
    <mergeCell ref="I188:J188"/>
    <mergeCell ref="D232:E232"/>
    <mergeCell ref="D184:G184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X197:AA197"/>
    <mergeCell ref="F288:G288"/>
    <mergeCell ref="S241:V241"/>
    <mergeCell ref="D223:G223"/>
    <mergeCell ref="I239:L239"/>
    <mergeCell ref="D226:G226"/>
    <mergeCell ref="I226:L226"/>
    <mergeCell ref="D227:G227"/>
    <mergeCell ref="N188:O188"/>
    <mergeCell ref="P277:Q277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223:L223"/>
    <mergeCell ref="K243:L243"/>
    <mergeCell ref="S245:V245"/>
    <mergeCell ref="D241:G241"/>
    <mergeCell ref="I272:L272"/>
    <mergeCell ref="N254:O254"/>
    <mergeCell ref="I247:L247"/>
    <mergeCell ref="D265:E265"/>
    <mergeCell ref="N515:Q515"/>
    <mergeCell ref="D419:G419"/>
    <mergeCell ref="F377:G377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D247:G247"/>
    <mergeCell ref="D263:G263"/>
    <mergeCell ref="D330:G330"/>
    <mergeCell ref="N377:O377"/>
    <mergeCell ref="N340:Q340"/>
    <mergeCell ref="D346:G351"/>
    <mergeCell ref="N365:O365"/>
    <mergeCell ref="N434:O434"/>
    <mergeCell ref="P434:Q434"/>
    <mergeCell ref="N408:Q408"/>
    <mergeCell ref="I419:L419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D388:G388"/>
    <mergeCell ref="D376:G376"/>
    <mergeCell ref="S385:V38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D384:G384"/>
    <mergeCell ref="D399:G399"/>
    <mergeCell ref="I352:L352"/>
    <mergeCell ref="N352:Q352"/>
    <mergeCell ref="I353:L353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N207:Q207"/>
    <mergeCell ref="S207:V207"/>
    <mergeCell ref="Z188:AA188"/>
    <mergeCell ref="I191:L191"/>
    <mergeCell ref="X231:AA231"/>
    <mergeCell ref="X232:Y232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I229:L229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I172:L172"/>
    <mergeCell ref="I178:J178"/>
    <mergeCell ref="X205:AA205"/>
    <mergeCell ref="U188:V188"/>
    <mergeCell ref="P178:Q178"/>
    <mergeCell ref="N181:Q181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S176:V176"/>
    <mergeCell ref="I167:J167"/>
    <mergeCell ref="I171:L171"/>
    <mergeCell ref="N176:Q176"/>
    <mergeCell ref="S175:V175"/>
    <mergeCell ref="N206:Q206"/>
    <mergeCell ref="N191:Q191"/>
    <mergeCell ref="N192:Q192"/>
    <mergeCell ref="S191:V191"/>
    <mergeCell ref="S188:T188"/>
    <mergeCell ref="S206:V206"/>
    <mergeCell ref="N172:Q172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N132:Q132"/>
    <mergeCell ref="X131:AA131"/>
    <mergeCell ref="X158:AA158"/>
    <mergeCell ref="S155:V155"/>
    <mergeCell ref="U156:V156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54:L154"/>
    <mergeCell ref="X134:Y134"/>
    <mergeCell ref="D174:G174"/>
    <mergeCell ref="D153:G153"/>
    <mergeCell ref="K156:L156"/>
    <mergeCell ref="I165:L165"/>
    <mergeCell ref="I156:J156"/>
    <mergeCell ref="N174:Q174"/>
    <mergeCell ref="D155:G155"/>
    <mergeCell ref="S172:V172"/>
    <mergeCell ref="D167:E167"/>
    <mergeCell ref="D158:G163"/>
    <mergeCell ref="S174:V174"/>
    <mergeCell ref="D166:G166"/>
    <mergeCell ref="X175:AA175"/>
    <mergeCell ref="X172:AA172"/>
    <mergeCell ref="X174:AA174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I130:L130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I113:L118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D57:G57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43:Y243"/>
    <mergeCell ref="X270:AA270"/>
    <mergeCell ref="D264:G264"/>
    <mergeCell ref="I264:L264"/>
    <mergeCell ref="D261:G261"/>
    <mergeCell ref="I261:L261"/>
    <mergeCell ref="N274:Q274"/>
    <mergeCell ref="S256:V256"/>
    <mergeCell ref="S257:V257"/>
    <mergeCell ref="S258:V258"/>
    <mergeCell ref="N270:Q270"/>
    <mergeCell ref="I245:L245"/>
    <mergeCell ref="I256:L256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N171:Q171"/>
    <mergeCell ref="D171:G171"/>
    <mergeCell ref="D176:G176"/>
    <mergeCell ref="I136:L136"/>
    <mergeCell ref="I133:L133"/>
    <mergeCell ref="I131:L131"/>
    <mergeCell ref="N131:Q131"/>
    <mergeCell ref="S182:V182"/>
    <mergeCell ref="S181:V181"/>
    <mergeCell ref="I202:L202"/>
    <mergeCell ref="K178:L178"/>
    <mergeCell ref="N177:Q177"/>
    <mergeCell ref="I144:L144"/>
    <mergeCell ref="K134:L134"/>
    <mergeCell ref="I137:L137"/>
    <mergeCell ref="I164:L164"/>
    <mergeCell ref="F167:G167"/>
    <mergeCell ref="N175:Q175"/>
    <mergeCell ref="I174:L174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U288:V288"/>
    <mergeCell ref="N283:Q283"/>
    <mergeCell ref="I284:L284"/>
    <mergeCell ref="N295:Q295"/>
    <mergeCell ref="I291:L291"/>
    <mergeCell ref="N281:Q281"/>
    <mergeCell ref="N280:Q280"/>
    <mergeCell ref="S316:V316"/>
    <mergeCell ref="N314:Q314"/>
    <mergeCell ref="X310:Y310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D339:G339"/>
    <mergeCell ref="D329:G329"/>
    <mergeCell ref="D318:G318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X297:AA297"/>
    <mergeCell ref="X296:AA296"/>
    <mergeCell ref="X302:AA302"/>
    <mergeCell ref="N302:Q302"/>
    <mergeCell ref="N299:O299"/>
    <mergeCell ref="N316:Q316"/>
    <mergeCell ref="D340:G340"/>
    <mergeCell ref="S373:V373"/>
    <mergeCell ref="S376:V376"/>
    <mergeCell ref="S372:V372"/>
    <mergeCell ref="X318:AA318"/>
    <mergeCell ref="S382:V382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U310:V310"/>
    <mergeCell ref="S377:T377"/>
    <mergeCell ref="S365:T365"/>
    <mergeCell ref="D319:G319"/>
    <mergeCell ref="I339:L339"/>
    <mergeCell ref="I327:L327"/>
    <mergeCell ref="N329:Q329"/>
    <mergeCell ref="N317:Q317"/>
    <mergeCell ref="N319:Q319"/>
    <mergeCell ref="D338:G338"/>
    <mergeCell ref="X385:AA385"/>
    <mergeCell ref="X370:AA370"/>
    <mergeCell ref="X373:AA373"/>
    <mergeCell ref="X372:AA372"/>
    <mergeCell ref="X382:AA382"/>
    <mergeCell ref="I385:L385"/>
    <mergeCell ref="X384:AA384"/>
    <mergeCell ref="X386:AA386"/>
    <mergeCell ref="U377:V377"/>
    <mergeCell ref="X375:AA375"/>
    <mergeCell ref="X376:AA376"/>
    <mergeCell ref="S370:V370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N373:Q373"/>
    <mergeCell ref="N372:Q372"/>
    <mergeCell ref="N320:Q320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D373:G373"/>
    <mergeCell ref="D364:G364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D392:G392"/>
    <mergeCell ref="N421:Q421"/>
    <mergeCell ref="U400:V400"/>
    <mergeCell ref="D415:G415"/>
    <mergeCell ref="D439:G43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X387:AA387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S439:V439"/>
    <mergeCell ref="S502:V502"/>
    <mergeCell ref="I469:J469"/>
    <mergeCell ref="K469:L469"/>
    <mergeCell ref="S480:T480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D513:E513"/>
    <mergeCell ref="I495:L495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D462:G462"/>
    <mergeCell ref="D461:G461"/>
    <mergeCell ref="D493:G493"/>
    <mergeCell ref="I493:L493"/>
    <mergeCell ref="N493:Q493"/>
    <mergeCell ref="S493:V493"/>
    <mergeCell ref="X493:AA493"/>
    <mergeCell ref="I499:L499"/>
    <mergeCell ref="I442:L442"/>
    <mergeCell ref="D445:G445"/>
    <mergeCell ref="F469:G469"/>
    <mergeCell ref="S454:V454"/>
    <mergeCell ref="X447:Y447"/>
    <mergeCell ref="Z447:AA447"/>
    <mergeCell ref="S489:V489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I458:J458"/>
    <mergeCell ref="S478:V478"/>
    <mergeCell ref="X478:AA478"/>
    <mergeCell ref="D483:AA483"/>
    <mergeCell ref="I485:L490"/>
    <mergeCell ref="X455:AA455"/>
    <mergeCell ref="I444:L444"/>
    <mergeCell ref="I455:L455"/>
    <mergeCell ref="X490:AA490"/>
    <mergeCell ref="X489:AA489"/>
    <mergeCell ref="X451:AA451"/>
    <mergeCell ref="D479:G479"/>
    <mergeCell ref="X446:AA446"/>
    <mergeCell ref="N465:Q465"/>
    <mergeCell ref="N466:Q466"/>
    <mergeCell ref="N475:Q475"/>
    <mergeCell ref="N476:Q476"/>
    <mergeCell ref="D457:G457"/>
    <mergeCell ref="X454:AA454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P423:Q423"/>
    <mergeCell ref="X422:AA422"/>
    <mergeCell ref="F423:G423"/>
    <mergeCell ref="X445:AA445"/>
    <mergeCell ref="I430:L430"/>
    <mergeCell ref="I456:L456"/>
    <mergeCell ref="X456:AA456"/>
    <mergeCell ref="I420:L420"/>
    <mergeCell ref="Z423:AA423"/>
    <mergeCell ref="K458:L458"/>
    <mergeCell ref="D468:G468"/>
    <mergeCell ref="S475:V475"/>
    <mergeCell ref="D465:G465"/>
    <mergeCell ref="I465:L465"/>
    <mergeCell ref="D431:G431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S423:T423"/>
    <mergeCell ref="I439:L439"/>
    <mergeCell ref="X409:AA409"/>
    <mergeCell ref="N399:Q399"/>
    <mergeCell ref="I395:L395"/>
    <mergeCell ref="I418:L418"/>
    <mergeCell ref="D416:G416"/>
    <mergeCell ref="U423:V423"/>
    <mergeCell ref="D429:G429"/>
    <mergeCell ref="P412:Q412"/>
    <mergeCell ref="D434:E434"/>
    <mergeCell ref="F434:G434"/>
    <mergeCell ref="I434:J434"/>
    <mergeCell ref="X405:AA405"/>
    <mergeCell ref="S411:V411"/>
    <mergeCell ref="N415:Q415"/>
    <mergeCell ref="D393:G393"/>
    <mergeCell ref="I393:L393"/>
    <mergeCell ref="N388:Q388"/>
    <mergeCell ref="N386:Q386"/>
    <mergeCell ref="S397:V397"/>
    <mergeCell ref="D412:E412"/>
    <mergeCell ref="N411:Q411"/>
    <mergeCell ref="S395:V395"/>
    <mergeCell ref="S396:V396"/>
    <mergeCell ref="D427:G427"/>
    <mergeCell ref="S426:V426"/>
    <mergeCell ref="N461:Q461"/>
    <mergeCell ref="N462:Q462"/>
    <mergeCell ref="N464:Q464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I427:L427"/>
    <mergeCell ref="D342:G342"/>
    <mergeCell ref="S357:V357"/>
    <mergeCell ref="X342:AA342"/>
    <mergeCell ref="X338:AA338"/>
    <mergeCell ref="X339:AA339"/>
    <mergeCell ref="X343:Y343"/>
    <mergeCell ref="D423:E423"/>
    <mergeCell ref="L29:M29"/>
    <mergeCell ref="L30:M30"/>
    <mergeCell ref="D24:F24"/>
    <mergeCell ref="G24:H24"/>
    <mergeCell ref="I24:K24"/>
    <mergeCell ref="G30:H30"/>
    <mergeCell ref="G32:H32"/>
    <mergeCell ref="G34:H34"/>
    <mergeCell ref="G23:H23"/>
    <mergeCell ref="G27:H27"/>
    <mergeCell ref="N31:O31"/>
    <mergeCell ref="L31:M31"/>
    <mergeCell ref="D16:H17"/>
    <mergeCell ref="J16:N17"/>
    <mergeCell ref="Q16:U17"/>
    <mergeCell ref="W16:AA17"/>
    <mergeCell ref="I522:L522"/>
    <mergeCell ref="D22:F22"/>
    <mergeCell ref="S325:V325"/>
    <mergeCell ref="X316:AA316"/>
    <mergeCell ref="D299:E299"/>
    <mergeCell ref="X295:AA295"/>
    <mergeCell ref="N296:Q296"/>
    <mergeCell ref="X303:AA303"/>
    <mergeCell ref="N310:O310"/>
    <mergeCell ref="S327:V327"/>
    <mergeCell ref="S328:V328"/>
    <mergeCell ref="S329:V329"/>
    <mergeCell ref="S332:T332"/>
    <mergeCell ref="U332:V332"/>
    <mergeCell ref="X304:AA304"/>
    <mergeCell ref="D296:G29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I28:K28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I397:L397"/>
    <mergeCell ref="D398:G398"/>
    <mergeCell ref="I398:L398"/>
    <mergeCell ref="X411:AA411"/>
    <mergeCell ref="X341:AA341"/>
    <mergeCell ref="S318:V318"/>
    <mergeCell ref="I313:L313"/>
    <mergeCell ref="I373:L373"/>
    <mergeCell ref="N341:Q341"/>
    <mergeCell ref="I341:L341"/>
    <mergeCell ref="D68:E68"/>
    <mergeCell ref="D295:G295"/>
    <mergeCell ref="N313:Q313"/>
    <mergeCell ref="G36:H36"/>
    <mergeCell ref="I36:K36"/>
    <mergeCell ref="L36:M36"/>
    <mergeCell ref="N36:O3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D298:G298"/>
    <mergeCell ref="D395:G395"/>
    <mergeCell ref="K400:L400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F68:G68"/>
    <mergeCell ref="S158:V163"/>
    <mergeCell ref="D211:G211"/>
    <mergeCell ref="D212:G212"/>
    <mergeCell ref="D214:G214"/>
    <mergeCell ref="S340:V340"/>
    <mergeCell ref="X313:AA313"/>
    <mergeCell ref="D125:G125"/>
    <mergeCell ref="N389:O389"/>
    <mergeCell ref="D389:E389"/>
    <mergeCell ref="N477:Q477"/>
    <mergeCell ref="N478:Q478"/>
    <mergeCell ref="N479:Q479"/>
    <mergeCell ref="S498:V498"/>
    <mergeCell ref="N499:Q499"/>
    <mergeCell ref="S500:V500"/>
    <mergeCell ref="S490:V490"/>
    <mergeCell ref="S472:V472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S392:V392"/>
    <mergeCell ref="S405:V405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8"/>
  <sheetViews>
    <sheetView topLeftCell="A22" zoomScaleNormal="100" workbookViewId="0">
      <selection activeCell="B60" sqref="B60"/>
    </sheetView>
  </sheetViews>
  <sheetFormatPr baseColWidth="10" defaultColWidth="9.28515625" defaultRowHeight="12.75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>
      <c r="A3" s="502"/>
      <c r="B3" s="507" t="s">
        <v>429</v>
      </c>
      <c r="C3" s="508"/>
      <c r="D3" s="1"/>
      <c r="E3" s="502"/>
      <c r="F3" s="509" t="s">
        <v>31</v>
      </c>
      <c r="G3" s="612" t="s">
        <v>203</v>
      </c>
    </row>
    <row r="4" spans="1:13" ht="12.4" customHeight="1">
      <c r="A4" s="502"/>
      <c r="B4" s="3" t="str">
        <f>VLOOKUP(B3,B88:E91,2)</f>
        <v>753 Winer Industrial Way, Suite A</v>
      </c>
      <c r="C4" s="1"/>
      <c r="D4" s="1"/>
      <c r="E4" s="502"/>
      <c r="F4" s="510"/>
      <c r="G4" s="511"/>
    </row>
    <row r="5" spans="1:13" ht="12.4" customHeight="1">
      <c r="A5" s="502"/>
      <c r="B5" s="3" t="str">
        <f>VLOOKUP(B3,B88:E91,3)</f>
        <v>Lawrenceville, GA, 30046</v>
      </c>
      <c r="C5" s="1"/>
      <c r="D5" s="508"/>
      <c r="E5" s="502"/>
      <c r="F5" s="512" t="s">
        <v>32</v>
      </c>
      <c r="G5" s="513">
        <f ca="1">TODAY()</f>
        <v>43609</v>
      </c>
    </row>
    <row r="6" spans="1:13" ht="12.4" customHeight="1">
      <c r="A6" s="502"/>
      <c r="B6" s="3" t="str">
        <f>VLOOKUP(B3,B88:E91,4)</f>
        <v>Tel: 1-855-406-0253 Fax: 1-866-516-1183</v>
      </c>
      <c r="C6" s="1"/>
      <c r="D6" s="1"/>
      <c r="E6" s="502"/>
      <c r="F6" s="512" t="str">
        <f>VLOOKUP(E1,B95:W97,4)</f>
        <v>Valid until:</v>
      </c>
      <c r="G6" s="513">
        <f ca="1">G5+45</f>
        <v>43654</v>
      </c>
      <c r="I6" s="514"/>
    </row>
    <row r="7" spans="1:13" ht="8.65" customHeight="1">
      <c r="A7" s="502"/>
      <c r="B7" s="515"/>
      <c r="C7" s="502"/>
      <c r="D7" s="502"/>
      <c r="E7" s="502"/>
      <c r="F7" s="502"/>
      <c r="G7" s="502"/>
    </row>
    <row r="8" spans="1:13" ht="12.4" customHeight="1">
      <c r="A8" s="502"/>
      <c r="B8" s="516" t="str">
        <f>VLOOKUP(E1,B95:W97,2)</f>
        <v>Customer:</v>
      </c>
      <c r="C8" s="1236" t="s">
        <v>947</v>
      </c>
      <c r="D8" s="1236"/>
      <c r="E8" s="518" t="str">
        <f>VLOOKUP(E1,B95:W97,5)</f>
        <v>Salesperson:</v>
      </c>
      <c r="F8" s="502" t="s">
        <v>427</v>
      </c>
      <c r="G8" s="1"/>
      <c r="I8" s="56"/>
      <c r="J8" s="18"/>
      <c r="K8" s="18"/>
      <c r="L8" s="519"/>
      <c r="M8" s="18"/>
    </row>
    <row r="9" spans="1:13" ht="12.4" customHeight="1">
      <c r="A9" s="502"/>
      <c r="B9" s="516" t="str">
        <f>VLOOKUP(E1,B95:W97,3)</f>
        <v>Company:</v>
      </c>
      <c r="C9" s="1237" t="s">
        <v>946</v>
      </c>
      <c r="D9" s="1237"/>
      <c r="E9" s="518" t="str">
        <f>VLOOKUP(E1,B95:W97,6)</f>
        <v>Phone:</v>
      </c>
      <c r="F9" s="502" t="str">
        <f>VLOOKUP(F8,B72:F86,2,FALSE)</f>
        <v>1-855-406-0253</v>
      </c>
      <c r="G9" s="520"/>
      <c r="I9" s="56"/>
      <c r="J9" s="18"/>
      <c r="K9" s="18"/>
      <c r="L9" s="519"/>
      <c r="M9" s="18"/>
    </row>
    <row r="10" spans="1:13" ht="12.4" customHeight="1">
      <c r="A10" s="502"/>
      <c r="B10" s="516"/>
      <c r="C10" s="606"/>
      <c r="D10" s="606"/>
      <c r="E10" s="518" t="s">
        <v>498</v>
      </c>
      <c r="F10" s="517">
        <f>VLOOKUP(F8,B72:F86,3,FALSE)</f>
        <v>313</v>
      </c>
      <c r="G10" s="520"/>
      <c r="I10" s="56"/>
      <c r="J10" s="18"/>
      <c r="K10" s="18"/>
      <c r="L10" s="519"/>
      <c r="M10" s="18"/>
    </row>
    <row r="11" spans="1:13" ht="12.4" customHeight="1">
      <c r="A11" s="502"/>
      <c r="B11" s="521"/>
      <c r="C11" s="516"/>
      <c r="D11" s="516"/>
      <c r="E11" s="518" t="str">
        <f>VLOOKUP(E1,B95:W97,7)</f>
        <v>Mobile:</v>
      </c>
      <c r="F11" s="502" t="str">
        <f>VLOOKUP(F8,B72:F86,4,FALSE)</f>
        <v>--</v>
      </c>
      <c r="G11" s="1"/>
      <c r="I11" s="56"/>
      <c r="J11" s="18"/>
      <c r="K11" s="18"/>
      <c r="L11" s="519"/>
      <c r="M11" s="18"/>
    </row>
    <row r="12" spans="1:13" ht="12.4" customHeight="1">
      <c r="A12" s="502"/>
      <c r="B12" s="522"/>
      <c r="C12" s="516"/>
      <c r="D12" s="516"/>
      <c r="E12" s="518" t="str">
        <f>VLOOKUP(E1,B95:W97,8)</f>
        <v>Email:</v>
      </c>
      <c r="F12" s="502" t="str">
        <f>VLOOKUP(F8,B72:F86,5,FALSE)</f>
        <v>srodeck@flexpipeinc.com</v>
      </c>
      <c r="G12" s="523"/>
      <c r="I12" s="56"/>
      <c r="J12" s="18"/>
      <c r="K12" s="18"/>
      <c r="L12" s="519"/>
      <c r="M12" s="18"/>
    </row>
    <row r="13" spans="1:13" ht="12.4" customHeight="1">
      <c r="A13" s="502"/>
      <c r="B13" s="516"/>
      <c r="C13" s="516"/>
      <c r="D13" s="516"/>
      <c r="E13" s="518" t="str">
        <f>VLOOKUP(E1,B95:W97,9)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>
      <c r="A15" s="502"/>
      <c r="B15" s="1238" t="str">
        <f>VLOOKUP(E1,B95:W97,10)</f>
        <v>FREIGHT DETAILS</v>
      </c>
      <c r="C15" s="1239"/>
      <c r="D15" s="1240"/>
      <c r="E15" s="1241" t="str">
        <f>VLOOKUP(E1,B95:W97,11)</f>
        <v>LEAD TIME</v>
      </c>
      <c r="F15" s="1242"/>
      <c r="G15" s="527" t="str">
        <f>VLOOKUP(E1,B95:W97,12)</f>
        <v>TERMS</v>
      </c>
    </row>
    <row r="16" spans="1:13">
      <c r="A16" s="502"/>
      <c r="B16" s="1229" t="s">
        <v>517</v>
      </c>
      <c r="C16" s="1230"/>
      <c r="D16" s="1231"/>
      <c r="E16" s="1232" t="s">
        <v>948</v>
      </c>
      <c r="F16" s="1233"/>
      <c r="G16" s="528" t="s">
        <v>88</v>
      </c>
      <c r="I16" s="514"/>
    </row>
    <row r="17" spans="1:30" ht="6" customHeight="1">
      <c r="A17" s="502"/>
      <c r="B17" s="529"/>
      <c r="C17" s="529"/>
      <c r="D17" s="529"/>
      <c r="E17" s="530"/>
      <c r="F17" s="530"/>
      <c r="G17" s="531"/>
      <c r="I17" s="514"/>
    </row>
    <row r="18" spans="1:30">
      <c r="A18" s="502"/>
      <c r="B18" s="559" t="str">
        <f>VLOOKUP(E1,B95:W97,13)</f>
        <v>QUANTITY</v>
      </c>
      <c r="C18" s="560" t="str">
        <f>VLOOKUP(E1,B95:W97,22)</f>
        <v>PART #</v>
      </c>
      <c r="D18" s="1243" t="str">
        <f>VLOOKUP(E1,B95:W97,14)</f>
        <v>DESCRIPTION</v>
      </c>
      <c r="E18" s="1244"/>
      <c r="F18" s="559" t="str">
        <f>VLOOKUP(E1,B95:W97,15)</f>
        <v>UNIT PRICE</v>
      </c>
      <c r="G18" s="559" t="s">
        <v>60</v>
      </c>
    </row>
    <row r="19" spans="1:30" ht="13.9" customHeight="1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>
      <c r="A20" s="535"/>
      <c r="B20" s="536">
        <f>IFERROR(INDEX(Resume!$C$3:$F$218,MATCH(ROW($B1),Resume!$N$3:$N$218,0),MATCH(Quotation!B$18,Resume!$C$2:$F$2,0)),"")</f>
        <v>40</v>
      </c>
      <c r="C20" s="10" t="str">
        <f>IFERROR(INDEX(Resume!$C$3:$F$218,MATCH(ROW($B1),Resume!$N$3:$N$218,0),MATCH(Quotation!C$18,Resume!$C$2:$F$2,0)),"")</f>
        <v>P-96-BL</v>
      </c>
      <c r="D20" s="1227" t="str">
        <f>IFERROR(INDEX(Resume!$C$3:$F$218,MATCH(ROW($B1),Resume!$N$3:$N$218,0),MATCH(Quotation!D$18,Resume!$C$2:$F$2,0)),"")</f>
        <v>Blue 8' steel pipe PE coated</v>
      </c>
      <c r="E20" s="1228"/>
      <c r="F20" s="1326">
        <f>IFERROR(INDEX(Resume!$C$3:$F$218,MATCH(ROW($B1),Resume!$N$3:$N$218,0),MATCH(Quotation!F$18,Resume!$C$2:$F$2,0)),"")</f>
        <v>6.5</v>
      </c>
      <c r="G20" s="621">
        <f t="shared" ref="G20:G58" si="0">IFERROR(F20*B20,"")</f>
        <v>260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>
      <c r="A21" s="502"/>
      <c r="B21" s="536">
        <f>IFERROR(INDEX(Resume!$C$3:$F$218,MATCH(ROW($B2),Resume!$N$3:$N$218,0),MATCH(Quotation!B$18,Resume!$C$2:$F$2,0)),"")</f>
        <v>8</v>
      </c>
      <c r="C21" s="10" t="str">
        <f>IFERROR(INDEX(Resume!$C$3:$F$218,MATCH(ROW($B2),Resume!$N$3:$N$218,0),MATCH(Quotation!C$18,Resume!$C$2:$F$2,0)),"")</f>
        <v>R40-RT96</v>
      </c>
      <c r="D21" s="1227" t="str">
        <f>IFERROR(INDEX(Resume!$C$3:$F$218,MATCH(ROW($B2),Resume!$N$3:$N$218,0),MATCH(Quotation!D$18,Resume!$C$2:$F$2,0)),"")</f>
        <v>8' Steel roller track (ESD)</v>
      </c>
      <c r="E21" s="1228"/>
      <c r="F21" s="1326">
        <f>IFERROR(INDEX(Resume!$C$3:$F$218,MATCH(ROW($B2),Resume!$N$3:$N$218,0),MATCH(Quotation!F$18,Resume!$C$2:$F$2,0)),"")</f>
        <v>18.5</v>
      </c>
      <c r="G21" s="621">
        <f t="shared" si="0"/>
        <v>148</v>
      </c>
      <c r="K21" s="534"/>
      <c r="L21" s="534"/>
    </row>
    <row r="22" spans="1:30">
      <c r="A22" s="502"/>
      <c r="B22" s="536">
        <f>IFERROR(INDEX(Resume!$C$3:$F$218,MATCH(ROW($B3),Resume!$N$3:$N$218,0),MATCH(Quotation!B$18,Resume!$C$2:$F$2,0)),"")</f>
        <v>24</v>
      </c>
      <c r="C22" s="10" t="str">
        <f>IFERROR(INDEX(Resume!$C$3:$F$218,MATCH(ROW($B3),Resume!$N$3:$N$218,0),MATCH(Quotation!C$18,Resume!$C$2:$F$2,0)),"")</f>
        <v>R40-MS</v>
      </c>
      <c r="D22" s="1227" t="str">
        <f>IFERROR(INDEX(Resume!$C$3:$F$218,MATCH(ROW($B3),Resume!$N$3:$N$218,0),MATCH(Quotation!D$18,Resume!$C$2:$F$2,0)),"")</f>
        <v>Track mount start steel zinc</v>
      </c>
      <c r="E22" s="1228"/>
      <c r="F22" s="1326">
        <f>IFERROR(INDEX(Resume!$C$3:$F$218,MATCH(ROW($B3),Resume!$N$3:$N$218,0),MATCH(Quotation!F$18,Resume!$C$2:$F$2,0)),"")</f>
        <v>1.4</v>
      </c>
      <c r="G22" s="621">
        <f t="shared" si="0"/>
        <v>33.599999999999994</v>
      </c>
      <c r="I22" s="514"/>
    </row>
    <row r="23" spans="1:30">
      <c r="A23" s="502"/>
      <c r="B23" s="536">
        <f>IFERROR(INDEX(Resume!$C$3:$F$218,MATCH(ROW($B4),Resume!$N$3:$N$218,0),MATCH(Quotation!B$18,Resume!$C$2:$F$2,0)),"")</f>
        <v>24</v>
      </c>
      <c r="C23" s="10" t="str">
        <f>IFERROR(INDEX(Resume!$C$3:$F$218,MATCH(ROW($B4),Resume!$N$3:$N$218,0),MATCH(Quotation!C$18,Resume!$C$2:$F$2,0)),"")</f>
        <v>R40-DS</v>
      </c>
      <c r="D23" s="1227" t="str">
        <f>IFERROR(INDEX(Resume!$C$3:$F$218,MATCH(ROW($B4),Resume!$N$3:$N$218,0),MATCH(Quotation!D$18,Resume!$C$2:$F$2,0)),"")</f>
        <v>Track mount drop stop steel zinc</v>
      </c>
      <c r="E23" s="1228"/>
      <c r="F23" s="1326">
        <f>IFERROR(INDEX(Resume!$C$3:$F$218,MATCH(ROW($B4),Resume!$N$3:$N$218,0),MATCH(Quotation!F$18,Resume!$C$2:$F$2,0)),"")</f>
        <v>1.7</v>
      </c>
      <c r="G23" s="621">
        <f t="shared" si="0"/>
        <v>40.799999999999997</v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>
      <c r="A24" s="502"/>
      <c r="B24" s="536">
        <f>IFERROR(INDEX(Resume!$C$3:$F$218,MATCH(ROW($B5),Resume!$N$3:$N$218,0),MATCH(Quotation!B$18,Resume!$C$2:$F$2,0)),"")</f>
        <v>154</v>
      </c>
      <c r="C24" s="10" t="str">
        <f>IFERROR(INDEX(Resume!$C$3:$F$218,MATCH(ROW($B5),Resume!$N$3:$N$218,0),MATCH(Quotation!C$18,Resume!$C$2:$F$2,0)),"")</f>
        <v>H-1</v>
      </c>
      <c r="D24" s="1227" t="str">
        <f>IFERROR(INDEX(Resume!$C$3:$F$218,MATCH(ROW($B5),Resume!$N$3:$N$218,0),MATCH(Quotation!D$18,Resume!$C$2:$F$2,0)),"")</f>
        <v>Standard tee joint steel black</v>
      </c>
      <c r="E24" s="1228"/>
      <c r="F24" s="1326">
        <f>IFERROR(INDEX(Resume!$C$3:$F$218,MATCH(ROW($B5),Resume!$N$3:$N$218,0),MATCH(Quotation!F$18,Resume!$C$2:$F$2,0)),"")</f>
        <v>0.55000000000000004</v>
      </c>
      <c r="G24" s="621">
        <f t="shared" si="0"/>
        <v>84.7</v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>
      <c r="A25" s="502"/>
      <c r="B25" s="536">
        <f>IFERROR(INDEX(Resume!$C$3:$F$218,MATCH(ROW($B6),Resume!$N$3:$N$218,0),MATCH(Quotation!B$18,Resume!$C$2:$F$2,0)),"")</f>
        <v>38</v>
      </c>
      <c r="C25" s="10" t="str">
        <f>IFERROR(INDEX(Resume!$C$3:$F$218,MATCH(ROW($B6),Resume!$N$3:$N$218,0),MATCH(Quotation!C$18,Resume!$C$2:$F$2,0)),"")</f>
        <v>H-2</v>
      </c>
      <c r="D25" s="1227" t="str">
        <f>IFERROR(INDEX(Resume!$C$3:$F$218,MATCH(ROW($B6),Resume!$N$3:$N$218,0),MATCH(Quotation!D$18,Resume!$C$2:$F$2,0)),"")</f>
        <v>Inner corner joint steel black</v>
      </c>
      <c r="E25" s="1228"/>
      <c r="F25" s="1326">
        <f>IFERROR(INDEX(Resume!$C$3:$F$218,MATCH(ROW($B6),Resume!$N$3:$N$218,0),MATCH(Quotation!F$18,Resume!$C$2:$F$2,0)),"")</f>
        <v>0.92</v>
      </c>
      <c r="G25" s="621">
        <f t="shared" si="0"/>
        <v>34.96</v>
      </c>
    </row>
    <row r="26" spans="1:30">
      <c r="A26" s="502"/>
      <c r="B26" s="536">
        <f>IFERROR(INDEX(Resume!$C$3:$F$218,MATCH(ROW($B7),Resume!$N$3:$N$218,0),MATCH(Quotation!B$18,Resume!$C$2:$F$2,0)),"")</f>
        <v>32</v>
      </c>
      <c r="C26" s="10" t="str">
        <f>IFERROR(INDEX(Resume!$C$3:$F$218,MATCH(ROW($B7),Resume!$N$3:$N$218,0),MATCH(Quotation!C$18,Resume!$C$2:$F$2,0)),"")</f>
        <v>H-3</v>
      </c>
      <c r="D26" s="1227" t="str">
        <f>IFERROR(INDEX(Resume!$C$3:$F$218,MATCH(ROW($B7),Resume!$N$3:$N$218,0),MATCH(Quotation!D$18,Resume!$C$2:$F$2,0)),"")</f>
        <v>Outer corner joint steel black</v>
      </c>
      <c r="E26" s="1228"/>
      <c r="F26" s="1326">
        <f>IFERROR(INDEX(Resume!$C$3:$F$218,MATCH(ROW($B7),Resume!$N$3:$N$218,0),MATCH(Quotation!F$18,Resume!$C$2:$F$2,0)),"")</f>
        <v>0.95</v>
      </c>
      <c r="G26" s="621">
        <f t="shared" si="0"/>
        <v>30.4</v>
      </c>
      <c r="I26" s="514"/>
    </row>
    <row r="27" spans="1:30" s="538" customFormat="1" ht="12.75" customHeight="1">
      <c r="A27" s="535"/>
      <c r="B27" s="536">
        <f>IFERROR(INDEX(Resume!$C$3:$F$218,MATCH(ROW($B8),Resume!$N$3:$N$218,0),MATCH(Quotation!B$18,Resume!$C$2:$F$2,0)),"")</f>
        <v>22</v>
      </c>
      <c r="C27" s="10" t="str">
        <f>IFERROR(INDEX(Resume!$C$3:$F$218,MATCH(ROW($B8),Resume!$N$3:$N$218,0),MATCH(Quotation!C$18,Resume!$C$2:$F$2,0)),"")</f>
        <v>H-4</v>
      </c>
      <c r="D27" s="1227" t="str">
        <f>IFERROR(INDEX(Resume!$C$3:$F$218,MATCH(ROW($B8),Resume!$N$3:$N$218,0),MATCH(Quotation!D$18,Resume!$C$2:$F$2,0)),"")</f>
        <v>Cross junction joint steel black</v>
      </c>
      <c r="E27" s="1228"/>
      <c r="F27" s="1326">
        <f>IFERROR(INDEX(Resume!$C$3:$F$218,MATCH(ROW($B8),Resume!$N$3:$N$218,0),MATCH(Quotation!F$18,Resume!$C$2:$F$2,0)),"")</f>
        <v>0.85</v>
      </c>
      <c r="G27" s="621">
        <f t="shared" si="0"/>
        <v>18.7</v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>
      <c r="A28" s="502"/>
      <c r="B28" s="536">
        <f>IFERROR(INDEX(Resume!$C$3:$F$218,MATCH(ROW($B9),Resume!$N$3:$N$218,0),MATCH(Quotation!B$18,Resume!$C$2:$F$2,0)),"")</f>
        <v>8</v>
      </c>
      <c r="C28" s="10" t="str">
        <f>IFERROR(INDEX(Resume!$C$3:$F$218,MATCH(ROW($B9),Resume!$N$3:$N$218,0),MATCH(Quotation!C$18,Resume!$C$2:$F$2,0)),"")</f>
        <v>H-5</v>
      </c>
      <c r="D28" s="1227" t="str">
        <f>IFERROR(INDEX(Resume!$C$3:$F$218,MATCH(ROW($B9),Resume!$N$3:$N$218,0),MATCH(Quotation!D$18,Resume!$C$2:$F$2,0)),"")</f>
        <v>Pivot point joint steel black</v>
      </c>
      <c r="E28" s="1228"/>
      <c r="F28" s="1326">
        <f>IFERROR(INDEX(Resume!$C$3:$F$218,MATCH(ROW($B9),Resume!$N$3:$N$218,0),MATCH(Quotation!F$18,Resume!$C$2:$F$2,0)),"")</f>
        <v>0.5</v>
      </c>
      <c r="G28" s="621">
        <f t="shared" si="0"/>
        <v>4</v>
      </c>
    </row>
    <row r="29" spans="1:30">
      <c r="A29" s="502"/>
      <c r="B29" s="536">
        <f>IFERROR(INDEX(Resume!$C$3:$F$218,MATCH(ROW($B10),Resume!$N$3:$N$218,0),MATCH(Quotation!B$18,Resume!$C$2:$F$2,0)),"")</f>
        <v>8</v>
      </c>
      <c r="C29" s="10" t="str">
        <f>IFERROR(INDEX(Resume!$C$3:$F$218,MATCH(ROW($B10),Resume!$N$3:$N$218,0),MATCH(Quotation!C$18,Resume!$C$2:$F$2,0)),"")</f>
        <v>H-6</v>
      </c>
      <c r="D29" s="1227" t="str">
        <f>IFERROR(INDEX(Resume!$C$3:$F$218,MATCH(ROW($B10),Resume!$N$3:$N$218,0),MATCH(Quotation!D$18,Resume!$C$2:$F$2,0)),"")</f>
        <v>Pivot extension steel black</v>
      </c>
      <c r="E29" s="1228"/>
      <c r="F29" s="1326">
        <f>IFERROR(INDEX(Resume!$C$3:$F$218,MATCH(ROW($B10),Resume!$N$3:$N$218,0),MATCH(Quotation!F$18,Resume!$C$2:$F$2,0)),"")</f>
        <v>0.5</v>
      </c>
      <c r="G29" s="621">
        <f t="shared" si="0"/>
        <v>4</v>
      </c>
    </row>
    <row r="30" spans="1:30">
      <c r="A30" s="502"/>
      <c r="B30" s="536">
        <f>IFERROR(INDEX(Resume!$C$3:$F$218,MATCH(ROW($B11),Resume!$N$3:$N$218,0),MATCH(Quotation!B$18,Resume!$C$2:$F$2,0)),"")</f>
        <v>18</v>
      </c>
      <c r="C30" s="10" t="str">
        <f>IFERROR(INDEX(Resume!$C$3:$F$218,MATCH(ROW($B11),Resume!$N$3:$N$218,0),MATCH(Quotation!C$18,Resume!$C$2:$F$2,0)),"")</f>
        <v>H-9</v>
      </c>
      <c r="D30" s="1227" t="str">
        <f>IFERROR(INDEX(Resume!$C$3:$F$218,MATCH(ROW($B11),Resume!$N$3:$N$218,0),MATCH(Quotation!D$18,Resume!$C$2:$F$2,0)),"")</f>
        <v>Flat anchor joint steel black</v>
      </c>
      <c r="E30" s="1228"/>
      <c r="F30" s="1326">
        <f>IFERROR(INDEX(Resume!$C$3:$F$218,MATCH(ROW($B11),Resume!$N$3:$N$218,0),MATCH(Quotation!F$18,Resume!$C$2:$F$2,0)),"")</f>
        <v>0.9</v>
      </c>
      <c r="G30" s="621">
        <f t="shared" si="0"/>
        <v>16.2</v>
      </c>
    </row>
    <row r="31" spans="1:30">
      <c r="A31" s="502"/>
      <c r="B31" s="536">
        <f>IFERROR(INDEX(Resume!$C$3:$F$218,MATCH(ROW($B12),Resume!$N$3:$N$218,0),MATCH(Quotation!B$18,Resume!$C$2:$F$2,0)),"")</f>
        <v>10</v>
      </c>
      <c r="C31" s="10" t="str">
        <f>IFERROR(INDEX(Resume!$C$3:$F$218,MATCH(ROW($B12),Resume!$N$3:$N$218,0),MATCH(Quotation!C$18,Resume!$C$2:$F$2,0)),"")</f>
        <v>H-12</v>
      </c>
      <c r="D31" s="1227" t="str">
        <f>IFERROR(INDEX(Resume!$C$3:$F$218,MATCH(ROW($B12),Resume!$N$3:$N$218,0),MATCH(Quotation!D$18,Resume!$C$2:$F$2,0)),"")</f>
        <v>Tee hinge joint steel black</v>
      </c>
      <c r="E31" s="1228"/>
      <c r="F31" s="620">
        <f>IFERROR(INDEX(Resume!$C$3:$F$218,MATCH(ROW($B12),Resume!$N$3:$N$218,0),MATCH(Quotation!F$18,Resume!$C$2:$F$2,0)),"")</f>
        <v>0.75</v>
      </c>
      <c r="G31" s="621">
        <f t="shared" si="0"/>
        <v>7.5</v>
      </c>
    </row>
    <row r="32" spans="1:30">
      <c r="A32" s="502"/>
      <c r="B32" s="536">
        <f>IFERROR(INDEX(Resume!$C$3:$F$218,MATCH(ROW($B13),Resume!$N$3:$N$218,0),MATCH(Quotation!B$18,Resume!$C$2:$F$2,0)),"")</f>
        <v>22</v>
      </c>
      <c r="C32" s="10" t="str">
        <f>IFERROR(INDEX(Resume!$C$3:$F$218,MATCH(ROW($B13),Resume!$N$3:$N$218,0),MATCH(Quotation!C$18,Resume!$C$2:$F$2,0)),"")</f>
        <v>H-13</v>
      </c>
      <c r="D32" s="1227" t="str">
        <f>IFERROR(INDEX(Resume!$C$3:$F$218,MATCH(ROW($B13),Resume!$N$3:$N$218,0),MATCH(Quotation!D$18,Resume!$C$2:$F$2,0)),"")</f>
        <v>Parallel joint steel black</v>
      </c>
      <c r="E32" s="1228"/>
      <c r="F32" s="620">
        <f>IFERROR(INDEX(Resume!$C$3:$F$218,MATCH(ROW($B13),Resume!$N$3:$N$218,0),MATCH(Quotation!F$18,Resume!$C$2:$F$2,0)),"")</f>
        <v>0.69</v>
      </c>
      <c r="G32" s="621">
        <f t="shared" si="0"/>
        <v>15.18</v>
      </c>
    </row>
    <row r="33" spans="1:10">
      <c r="A33" s="502"/>
      <c r="B33" s="536">
        <f>IFERROR(INDEX(Resume!$C$3:$F$218,MATCH(ROW($B14),Resume!$N$3:$N$218,0),MATCH(Quotation!B$18,Resume!$C$2:$F$2,0)),"")</f>
        <v>2</v>
      </c>
      <c r="C33" s="10" t="str">
        <f>IFERROR(INDEX(Resume!$C$3:$F$218,MATCH(ROW($B14),Resume!$N$3:$N$218,0),MATCH(Quotation!C$18,Resume!$C$2:$F$2,0)),"")</f>
        <v>H-15</v>
      </c>
      <c r="D33" s="1227" t="str">
        <f>IFERROR(INDEX(Resume!$C$3:$F$218,MATCH(ROW($B14),Resume!$N$3:$N$218,0),MATCH(Quotation!D$18,Resume!$C$2:$F$2,0)),"")</f>
        <v>Upper clamp joint steel black</v>
      </c>
      <c r="E33" s="1228"/>
      <c r="F33" s="620">
        <f>IFERROR(INDEX(Resume!$C$3:$F$218,MATCH(ROW($B14),Resume!$N$3:$N$218,0),MATCH(Quotation!F$18,Resume!$C$2:$F$2,0)),"")</f>
        <v>0.75</v>
      </c>
      <c r="G33" s="621">
        <f t="shared" si="0"/>
        <v>1.5</v>
      </c>
    </row>
    <row r="34" spans="1:10">
      <c r="A34" s="502"/>
      <c r="B34" s="536">
        <f>IFERROR(INDEX(Resume!$C$3:$F$218,MATCH(ROW($B15),Resume!$N$3:$N$218,0),MATCH(Quotation!B$18,Resume!$C$2:$F$2,0)),"")</f>
        <v>2</v>
      </c>
      <c r="C34" s="10" t="str">
        <f>IFERROR(INDEX(Resume!$C$3:$F$218,MATCH(ROW($B15),Resume!$N$3:$N$218,0),MATCH(Quotation!C$18,Resume!$C$2:$F$2,0)),"")</f>
        <v>H-16</v>
      </c>
      <c r="D34" s="1227" t="str">
        <f>IFERROR(INDEX(Resume!$C$3:$F$218,MATCH(ROW($B15),Resume!$N$3:$N$218,0),MATCH(Quotation!D$18,Resume!$C$2:$F$2,0)),"")</f>
        <v>Lower clamp joint steel black</v>
      </c>
      <c r="E34" s="1228"/>
      <c r="F34" s="620">
        <f>IFERROR(INDEX(Resume!$C$3:$F$218,MATCH(ROW($B15),Resume!$N$3:$N$218,0),MATCH(Quotation!F$18,Resume!$C$2:$F$2,0)),"")</f>
        <v>0.75</v>
      </c>
      <c r="G34" s="621">
        <f t="shared" si="0"/>
        <v>1.5</v>
      </c>
      <c r="I34" s="514"/>
    </row>
    <row r="35" spans="1:10">
      <c r="A35" s="502"/>
      <c r="B35" s="536">
        <f>IFERROR(INDEX(Resume!$C$3:$F$218,MATCH(ROW($B16),Resume!$N$3:$N$218,0),MATCH(Quotation!B$18,Resume!$C$2:$F$2,0)),"")</f>
        <v>4</v>
      </c>
      <c r="C35" s="10" t="str">
        <f>IFERROR(INDEX(Resume!$C$3:$F$218,MATCH(ROW($B16),Resume!$N$3:$N$218,0),MATCH(Quotation!C$18,Resume!$C$2:$F$2,0)),"")</f>
        <v>H-23</v>
      </c>
      <c r="D35" s="1227" t="str">
        <f>IFERROR(INDEX(Resume!$C$3:$F$218,MATCH(ROW($B16),Resume!$N$3:$N$218,0),MATCH(Quotation!D$18,Resume!$C$2:$F$2,0)),"")</f>
        <v>Parallel hinge joint steel black</v>
      </c>
      <c r="E35" s="1228"/>
      <c r="F35" s="620">
        <f>IFERROR(INDEX(Resume!$C$3:$F$218,MATCH(ROW($B16),Resume!$N$3:$N$218,0),MATCH(Quotation!F$18,Resume!$C$2:$F$2,0)),"")</f>
        <v>0.8</v>
      </c>
      <c r="G35" s="621">
        <f t="shared" si="0"/>
        <v>3.2</v>
      </c>
    </row>
    <row r="36" spans="1:10">
      <c r="A36" s="502"/>
      <c r="B36" s="1327">
        <f>IFERROR(INDEX(Resume!$C$3:$F$218,MATCH(ROW($B17),Resume!$N$3:$N$218,0),MATCH(Quotation!B$18,Resume!$C$2:$F$2,0)),"")</f>
        <v>34</v>
      </c>
      <c r="C36" s="10" t="str">
        <f>IFERROR(INDEX(Resume!$C$3:$F$218,MATCH(ROW($B17),Resume!$N$3:$N$218,0),MATCH(Quotation!C$18,Resume!$C$2:$F$2,0)),"")</f>
        <v>AP-ICAP</v>
      </c>
      <c r="D36" s="1227" t="str">
        <f>IFERROR(INDEX(Resume!$C$3:$F$218,MATCH(ROW($B17),Resume!$N$3:$N$218,0),MATCH(Quotation!D$18,Resume!$C$2:$F$2,0)),"")</f>
        <v>End cap plastic bk</v>
      </c>
      <c r="E36" s="1228"/>
      <c r="F36" s="620">
        <f>IFERROR(INDEX(Resume!$C$3:$F$218,MATCH(ROW($B17),Resume!$N$3:$N$218,0),MATCH(Quotation!F$18,Resume!$C$2:$F$2,0)),"")</f>
        <v>0.11</v>
      </c>
      <c r="G36" s="621">
        <f t="shared" si="0"/>
        <v>3.74</v>
      </c>
    </row>
    <row r="37" spans="1:10">
      <c r="A37" s="502"/>
      <c r="B37" s="536">
        <f>IFERROR(INDEX(Resume!$C$3:$F$218,MATCH(ROW($B18),Resume!$N$3:$N$218,0),MATCH(Quotation!B$18,Resume!$C$2:$F$2,0)),"")</f>
        <v>8</v>
      </c>
      <c r="C37" s="10" t="str">
        <f>IFERROR(INDEX(Resume!$C$3:$F$218,MATCH(ROW($B18),Resume!$N$3:$N$218,0),MATCH(Quotation!C$18,Resume!$C$2:$F$2,0)),"")</f>
        <v>AP-HINGE</v>
      </c>
      <c r="D37" s="1227" t="str">
        <f>IFERROR(INDEX(Resume!$C$3:$F$218,MATCH(ROW($B18),Resume!$N$3:$N$218,0),MATCH(Quotation!D$18,Resume!$C$2:$F$2,0)),"")</f>
        <v>Pipe connector ss steel zinc</v>
      </c>
      <c r="E37" s="1228"/>
      <c r="F37" s="620">
        <f>IFERROR(INDEX(Resume!$C$3:$F$218,MATCH(ROW($B18),Resume!$N$3:$N$218,0),MATCH(Quotation!F$18,Resume!$C$2:$F$2,0)),"")</f>
        <v>0.25</v>
      </c>
      <c r="G37" s="621">
        <f t="shared" si="0"/>
        <v>2</v>
      </c>
    </row>
    <row r="38" spans="1:10">
      <c r="A38" s="502"/>
      <c r="B38" s="1327">
        <f>IFERROR(INDEX(Resume!$C$3:$F$218,MATCH(ROW($B19),Resume!$N$3:$N$218,0),MATCH(Quotation!B$18,Resume!$C$2:$F$2,0)),"")</f>
        <v>4</v>
      </c>
      <c r="C38" s="10" t="str">
        <f>IFERROR(INDEX(Resume!$C$3:$F$218,MATCH(ROW($B19),Resume!$N$3:$N$218,0),MATCH(Quotation!C$18,Resume!$C$2:$F$2,0)),"")</f>
        <v>AF-ILEV</v>
      </c>
      <c r="D38" s="1227" t="str">
        <f>IFERROR(INDEX(Resume!$C$3:$F$218,MATCH(ROW($B19),Resume!$N$3:$N$218,0),MATCH(Quotation!D$18,Resume!$C$2:$F$2,0)),"")</f>
        <v>Adjust. inner foot steel zinc</v>
      </c>
      <c r="E38" s="1228"/>
      <c r="F38" s="620">
        <f>IFERROR(INDEX(Resume!$C$3:$F$218,MATCH(ROW($B19),Resume!$N$3:$N$218,0),MATCH(Quotation!F$18,Resume!$C$2:$F$2,0)),"")</f>
        <v>2.25</v>
      </c>
      <c r="G38" s="621">
        <f t="shared" si="0"/>
        <v>9</v>
      </c>
    </row>
    <row r="39" spans="1:10">
      <c r="A39" s="502"/>
      <c r="B39" s="536">
        <f>IFERROR(INDEX(Resume!$C$3:$F$218,MATCH(ROW($B20),Resume!$N$3:$N$218,0),MATCH(Quotation!B$18,Resume!$C$2:$F$2,0)),"")</f>
        <v>4</v>
      </c>
      <c r="C39" s="10" t="str">
        <f>IFERROR(INDEX(Resume!$C$3:$F$218,MATCH(ROW($B20),Resume!$N$3:$N$218,0),MATCH(Quotation!C$18,Resume!$C$2:$F$2,0)),"")</f>
        <v>AF-OLEV</v>
      </c>
      <c r="D39" s="1227" t="str">
        <f>IFERROR(INDEX(Resume!$C$3:$F$218,MATCH(ROW($B20),Resume!$N$3:$N$218,0),MATCH(Quotation!D$18,Resume!$C$2:$F$2,0)),"")</f>
        <v>Adjust. outer foot steel zinc</v>
      </c>
      <c r="E39" s="1228"/>
      <c r="F39" s="620">
        <f>IFERROR(INDEX(Resume!$C$3:$F$218,MATCH(ROW($B20),Resume!$N$3:$N$218,0),MATCH(Quotation!F$18,Resume!$C$2:$F$2,0)),"")</f>
        <v>2.25</v>
      </c>
      <c r="G39" s="621">
        <f t="shared" si="0"/>
        <v>9</v>
      </c>
    </row>
    <row r="40" spans="1:10">
      <c r="A40" s="502"/>
      <c r="B40" s="1327">
        <f>IFERROR(INDEX(Resume!$C$3:$F$218,MATCH(ROW($B21),Resume!$N$3:$N$218,0),MATCH(Quotation!B$18,Resume!$C$2:$F$2,0)),"")</f>
        <v>54</v>
      </c>
      <c r="C40" s="10" t="str">
        <f>IFERROR(INDEX(Resume!$C$3:$F$218,MATCH(ROW($B21),Resume!$N$3:$N$218,0),MATCH(Quotation!C$18,Resume!$C$2:$F$2,0)),"")</f>
        <v>AO-SHIM</v>
      </c>
      <c r="D40" s="1227" t="str">
        <f>IFERROR(INDEX(Resume!$C$3:$F$218,MATCH(ROW($B21),Resume!$N$3:$N$218,0),MATCH(Quotation!D$18,Resume!$C$2:$F$2,0)),"")</f>
        <v>Leveling shim plastic bk</v>
      </c>
      <c r="E40" s="1228"/>
      <c r="F40" s="620">
        <f>IFERROR(INDEX(Resume!$C$3:$F$218,MATCH(ROW($B21),Resume!$N$3:$N$218,0),MATCH(Quotation!F$18,Resume!$C$2:$F$2,0)),"")</f>
        <v>0.15</v>
      </c>
      <c r="G40" s="621">
        <f t="shared" si="0"/>
        <v>8.1</v>
      </c>
    </row>
    <row r="41" spans="1:10">
      <c r="A41" s="502"/>
      <c r="B41" s="1327">
        <f>IFERROR(INDEX(Resume!$C$3:$F$218,MATCH(ROW($B22),Resume!$N$3:$N$218,0),MATCH(Quotation!B$18,Resume!$C$2:$F$2,0)),"")</f>
        <v>30</v>
      </c>
      <c r="C41" s="10" t="str">
        <f>IFERROR(INDEX(Resume!$C$3:$F$218,MATCH(ROW($B22),Resume!$N$3:$N$218,0),MATCH(Quotation!C$18,Resume!$C$2:$F$2,0)),"")</f>
        <v>AO-EMT1</v>
      </c>
      <c r="D41" s="1227" t="str">
        <f>IFERROR(INDEX(Resume!$C$3:$F$218,MATCH(ROW($B22),Resume!$N$3:$N$218,0),MATCH(Quotation!D$18,Resume!$C$2:$F$2,0)),"")</f>
        <v>Pipe clamp single steel zinc</v>
      </c>
      <c r="E41" s="1228"/>
      <c r="F41" s="620">
        <f>IFERROR(INDEX(Resume!$C$3:$F$218,MATCH(ROW($B22),Resume!$N$3:$N$218,0),MATCH(Quotation!F$18,Resume!$C$2:$F$2,0)),"")</f>
        <v>0.18</v>
      </c>
      <c r="G41" s="621">
        <f t="shared" si="0"/>
        <v>5.3999999999999995</v>
      </c>
      <c r="I41" s="514"/>
    </row>
    <row r="42" spans="1:10">
      <c r="A42" s="502"/>
      <c r="B42" s="1327">
        <f>IFERROR(INDEX(Resume!$C$3:$F$218,MATCH(ROW($B23),Resume!$N$3:$N$218,0),MATCH(Quotation!B$18,Resume!$C$2:$F$2,0)),"")</f>
        <v>10</v>
      </c>
      <c r="C42" s="10" t="str">
        <f>IFERROR(INDEX(Resume!$C$3:$F$218,MATCH(ROW($B23),Resume!$N$3:$N$218,0),MATCH(Quotation!C$18,Resume!$C$2:$F$2,0)),"")</f>
        <v>AO-EMT2</v>
      </c>
      <c r="D42" s="1227" t="str">
        <f>IFERROR(INDEX(Resume!$C$3:$F$218,MATCH(ROW($B23),Resume!$N$3:$N$218,0),MATCH(Quotation!D$18,Resume!$C$2:$F$2,0)),"")</f>
        <v>Pipe clamp double steel zinc</v>
      </c>
      <c r="E42" s="1228"/>
      <c r="F42" s="620">
        <f>IFERROR(INDEX(Resume!$C$3:$F$218,MATCH(ROW($B23),Resume!$N$3:$N$218,0),MATCH(Quotation!F$18,Resume!$C$2:$F$2,0)),"")</f>
        <v>0.18</v>
      </c>
      <c r="G42" s="621">
        <f t="shared" si="0"/>
        <v>1.7999999999999998</v>
      </c>
      <c r="I42" s="514"/>
    </row>
    <row r="43" spans="1:10">
      <c r="A43" s="502"/>
      <c r="B43" s="536">
        <f>IFERROR(INDEX(Resume!$C$3:$F$218,MATCH(ROW($B24),Resume!$N$3:$N$218,0),MATCH(Quotation!B$18,Resume!$C$2:$F$2,0)),"")</f>
        <v>1</v>
      </c>
      <c r="C43" s="10" t="str">
        <f>IFERROR(INDEX(Resume!$C$3:$F$218,MATCH(ROW($B24),Resume!$N$3:$N$218,0),MATCH(Quotation!C$18,Resume!$C$2:$F$2,0)),"")</f>
        <v>AS-REST</v>
      </c>
      <c r="D43" s="1227" t="str">
        <f>IFERROR(INDEX(Resume!$C$3:$F$218,MATCH(ROW($B24),Resume!$N$3:$N$218,0),MATCH(Quotation!D$18,Resume!$C$2:$F$2,0)),"")</f>
        <v>Pipe rest steel zinc</v>
      </c>
      <c r="E43" s="1228"/>
      <c r="F43" s="620">
        <f>IFERROR(INDEX(Resume!$C$3:$F$218,MATCH(ROW($B24),Resume!$N$3:$N$218,0),MATCH(Quotation!F$18,Resume!$C$2:$F$2,0)),"")</f>
        <v>2.25</v>
      </c>
      <c r="G43" s="621">
        <f t="shared" si="0"/>
        <v>2.25</v>
      </c>
      <c r="I43" s="514"/>
    </row>
    <row r="44" spans="1:10">
      <c r="A44" s="502"/>
      <c r="B44" s="1327">
        <f>IFERROR(INDEX(Resume!$C$3:$F$218,MATCH(ROW($B25),Resume!$N$3:$N$218,0),MATCH(Quotation!B$18,Resume!$C$2:$F$2,0)),"")</f>
        <v>1</v>
      </c>
      <c r="C44" s="10" t="str">
        <f>IFERROR(INDEX(Resume!$C$3:$F$218,MATCH(ROW($B25),Resume!$N$3:$N$218,0),MATCH(Quotation!C$18,Resume!$C$2:$F$2,0)),"")</f>
        <v>AW-HOLDER</v>
      </c>
      <c r="D44" s="1227" t="str">
        <f>IFERROR(INDEX(Resume!$C$3:$F$218,MATCH(ROW($B25),Resume!$N$3:$N$218,0),MATCH(Quotation!D$18,Resume!$C$2:$F$2,0)),"")</f>
        <v>Tool holder steel zinc</v>
      </c>
      <c r="E44" s="1228"/>
      <c r="F44" s="620">
        <f>IFERROR(INDEX(Resume!$C$3:$F$218,MATCH(ROW($B25),Resume!$N$3:$N$218,0),MATCH(Quotation!F$18,Resume!$C$2:$F$2,0)),"")</f>
        <v>7</v>
      </c>
      <c r="G44" s="621">
        <f t="shared" si="0"/>
        <v>7</v>
      </c>
      <c r="I44" s="514"/>
    </row>
    <row r="45" spans="1:10">
      <c r="A45" s="502"/>
      <c r="B45" s="536">
        <f>IFERROR(INDEX(Resume!$C$3:$F$218,MATCH(ROW($B26),Resume!$N$3:$N$218,0),MATCH(Quotation!B$18,Resume!$C$2:$F$2,0)),"")</f>
        <v>1</v>
      </c>
      <c r="C45" s="10" t="str">
        <f>IFERROR(INDEX(Resume!$C$3:$F$218,MATCH(ROW($B26),Resume!$N$3:$N$218,0),MATCH(Quotation!C$18,Resume!$C$2:$F$2,0)),"")</f>
        <v>FL-COU14-100LBS</v>
      </c>
      <c r="D45" s="1227" t="str">
        <f>IFERROR(INDEX(Resume!$C$3:$F$218,MATCH(ROW($B26),Resume!$N$3:$N$218,0),MATCH(Quotation!D$18,Resume!$C$2:$F$2,0)),"")</f>
        <v>14" pair drawer slides steel zn</v>
      </c>
      <c r="E45" s="1228"/>
      <c r="F45" s="620">
        <f>IFERROR(INDEX(Resume!$C$3:$F$218,MATCH(ROW($B26),Resume!$N$3:$N$218,0),MATCH(Quotation!F$18,Resume!$C$2:$F$2,0)),"")</f>
        <v>18</v>
      </c>
      <c r="G45" s="621">
        <f t="shared" si="0"/>
        <v>18</v>
      </c>
    </row>
    <row r="46" spans="1:10">
      <c r="A46" s="502"/>
      <c r="B46" s="536">
        <f>IFERROR(INDEX(Resume!$C$3:$F$218,MATCH(ROW($B27),Resume!$N$3:$N$218,0),MATCH(Quotation!B$18,Resume!$C$2:$F$2,0)),"")</f>
        <v>6</v>
      </c>
      <c r="C46" s="10" t="str">
        <f>IFERROR(INDEX(Resume!$C$3:$F$218,MATCH(ROW($B27),Resume!$N$3:$N$218,0),MATCH(Quotation!C$18,Resume!$C$2:$F$2,0)),"")</f>
        <v>FL-COU-U</v>
      </c>
      <c r="D46" s="1227" t="str">
        <f>IFERROR(INDEX(Resume!$C$3:$F$218,MATCH(ROW($B27),Resume!$N$3:$N$218,0),MATCH(Quotation!D$18,Resume!$C$2:$F$2,0)),"")</f>
        <v>Slides bracket steel zinc</v>
      </c>
      <c r="E46" s="1228"/>
      <c r="F46" s="620">
        <f>IFERROR(INDEX(Resume!$C$3:$F$218,MATCH(ROW($B27),Resume!$N$3:$N$218,0),MATCH(Quotation!F$18,Resume!$C$2:$F$2,0)),"")</f>
        <v>0.5</v>
      </c>
      <c r="G46" s="621">
        <f t="shared" si="0"/>
        <v>3</v>
      </c>
      <c r="I46" s="540"/>
      <c r="J46" s="540"/>
    </row>
    <row r="47" spans="1:10">
      <c r="A47" s="502"/>
      <c r="B47" s="536">
        <f>IFERROR(INDEX(Resume!$C$3:$F$218,MATCH(ROW($B28),Resume!$N$3:$N$218,0),MATCH(Quotation!B$18,Resume!$C$2:$F$2,0)),"")</f>
        <v>2</v>
      </c>
      <c r="C47" s="10" t="str">
        <f>IFERROR(INDEX(Resume!$C$3:$F$218,MATCH(ROW($B28),Resume!$N$3:$N$218,0),MATCH(Quotation!C$18,Resume!$C$2:$F$2,0)),"")</f>
        <v>AW-ROLLER</v>
      </c>
      <c r="D47" s="1227" t="str">
        <f>IFERROR(INDEX(Resume!$C$3:$F$218,MATCH(ROW($B28),Resume!$N$3:$N$218,0),MATCH(Quotation!D$18,Resume!$C$2:$F$2,0)),"")</f>
        <v>Roller double hook steel zinc</v>
      </c>
      <c r="E47" s="1228"/>
      <c r="F47" s="620">
        <f>IFERROR(INDEX(Resume!$C$3:$F$218,MATCH(ROW($B28),Resume!$N$3:$N$218,0),MATCH(Quotation!F$18,Resume!$C$2:$F$2,0)),"")</f>
        <v>7</v>
      </c>
      <c r="G47" s="621">
        <f t="shared" si="0"/>
        <v>14</v>
      </c>
      <c r="I47" s="540"/>
      <c r="J47" s="540"/>
    </row>
    <row r="48" spans="1:10">
      <c r="A48" s="502"/>
      <c r="B48" s="1327">
        <f>IFERROR(INDEX(Resume!$C$3:$F$218,MATCH(ROW($B29),Resume!$N$3:$N$218,0),MATCH(Quotation!B$18,Resume!$C$2:$F$2,0)),"")</f>
        <v>2</v>
      </c>
      <c r="C48" s="10" t="str">
        <f>IFERROR(INDEX(Resume!$C$3:$F$218,MATCH(ROW($B29),Resume!$N$3:$N$218,0),MATCH(Quotation!C$18,Resume!$C$2:$F$2,0)),"")</f>
        <v>D-HDPEW-481/2</v>
      </c>
      <c r="D48" s="1227" t="str">
        <f>IFERROR(INDEX(Resume!$C$3:$F$218,MATCH(ROW($B29),Resume!$N$3:$N$218,0),MATCH(Quotation!D$18,Resume!$C$2:$F$2,0)),"")</f>
        <v>White HDPE plastic 4X8X1/2''</v>
      </c>
      <c r="E48" s="1228"/>
      <c r="F48" s="620">
        <f>IFERROR(INDEX(Resume!$C$3:$F$218,MATCH(ROW($B29),Resume!$N$3:$N$218,0),MATCH(Quotation!F$18,Resume!$C$2:$F$2,0)),"")</f>
        <v>170</v>
      </c>
      <c r="G48" s="621">
        <f t="shared" si="0"/>
        <v>340</v>
      </c>
      <c r="I48" s="540"/>
      <c r="J48" s="540"/>
    </row>
    <row r="49" spans="1:10">
      <c r="A49" s="502"/>
      <c r="B49" s="1327">
        <f>IFERROR(INDEX(Resume!$C$3:$F$218,MATCH(ROW($B30),Resume!$N$3:$N$218,0),MATCH(Quotation!B$18,Resume!$C$2:$F$2,0)),"")</f>
        <v>2</v>
      </c>
      <c r="C49" s="10" t="str">
        <f>IFERROR(INDEX(Resume!$C$3:$F$218,MATCH(ROW($B30),Resume!$N$3:$N$218,0),MATCH(Quotation!C$18,Resume!$C$2:$F$2,0)),"")</f>
        <v>D-HDPEW-481/4</v>
      </c>
      <c r="D49" s="1227" t="str">
        <f>IFERROR(INDEX(Resume!$C$3:$F$218,MATCH(ROW($B30),Resume!$N$3:$N$218,0),MATCH(Quotation!D$18,Resume!$C$2:$F$2,0)),"")</f>
        <v>White HDPE plastic 4X8X1/4''</v>
      </c>
      <c r="E49" s="1228"/>
      <c r="F49" s="620">
        <f>IFERROR(INDEX(Resume!$C$3:$F$218,MATCH(ROW($B30),Resume!$N$3:$N$218,0),MATCH(Quotation!F$18,Resume!$C$2:$F$2,0)),"")</f>
        <v>100</v>
      </c>
      <c r="G49" s="621">
        <f t="shared" si="0"/>
        <v>200</v>
      </c>
      <c r="I49" s="540"/>
      <c r="J49" s="540"/>
    </row>
    <row r="50" spans="1:10">
      <c r="A50" s="502"/>
      <c r="B50" s="1327">
        <f>IFERROR(INDEX(Resume!$C$3:$F$218,MATCH(ROW($B31),Resume!$N$3:$N$218,0),MATCH(Quotation!B$18,Resume!$C$2:$F$2,0)),"")</f>
        <v>158</v>
      </c>
      <c r="C50" s="10" t="str">
        <f>IFERROR(INDEX(Resume!$C$3:$F$218,MATCH(ROW($B31),Resume!$N$3:$N$218,0),MATCH(Quotation!C$18,Resume!$C$2:$F$2,0)),"")</f>
        <v>M6-25B</v>
      </c>
      <c r="D50" s="1227" t="str">
        <f>IFERROR(INDEX(Resume!$C$3:$F$218,MATCH(ROW($B31),Resume!$N$3:$N$218,0),MATCH(Quotation!D$18,Resume!$C$2:$F$2,0)),"")</f>
        <v>Bolt for joint set black zinc</v>
      </c>
      <c r="E50" s="1228"/>
      <c r="F50" s="620">
        <f>IFERROR(INDEX(Resume!$C$3:$F$218,MATCH(ROW($B31),Resume!$N$3:$N$218,0),MATCH(Quotation!F$18,Resume!$C$2:$F$2,0)),"")</f>
        <v>7.0000000000000007E-2</v>
      </c>
      <c r="G50" s="621">
        <f t="shared" si="0"/>
        <v>11.06</v>
      </c>
      <c r="I50" s="540"/>
      <c r="J50" s="540"/>
    </row>
    <row r="51" spans="1:10">
      <c r="A51" s="502"/>
      <c r="B51" s="1327">
        <f>IFERROR(INDEX(Resume!$C$3:$F$218,MATCH(ROW($B32),Resume!$N$3:$N$218,0),MATCH(Quotation!B$18,Resume!$C$2:$F$2,0)),"")</f>
        <v>160</v>
      </c>
      <c r="C51" s="10" t="str">
        <f>IFERROR(INDEX(Resume!$C$3:$F$218,MATCH(ROW($B32),Resume!$N$3:$N$218,0),MATCH(Quotation!C$18,Resume!$C$2:$F$2,0)),"")</f>
        <v>M6-N</v>
      </c>
      <c r="D51" s="1227" t="str">
        <f>IFERROR(INDEX(Resume!$C$3:$F$218,MATCH(ROW($B32),Resume!$N$3:$N$218,0),MATCH(Quotation!D$18,Resume!$C$2:$F$2,0)),"")</f>
        <v>Nut for joint set black zinc</v>
      </c>
      <c r="E51" s="1228"/>
      <c r="F51" s="620">
        <f>IFERROR(INDEX(Resume!$C$3:$F$218,MATCH(ROW($B32),Resume!$N$3:$N$218,0),MATCH(Quotation!F$18,Resume!$C$2:$F$2,0)),"")</f>
        <v>0.06</v>
      </c>
      <c r="G51" s="621">
        <f t="shared" si="0"/>
        <v>9.6</v>
      </c>
      <c r="I51" s="540"/>
      <c r="J51" s="540"/>
    </row>
    <row r="52" spans="1:10">
      <c r="A52" s="502"/>
      <c r="B52" s="536">
        <f>IFERROR(INDEX(Resume!$C$3:$F$218,MATCH(ROW($B33),Resume!$N$3:$N$218,0),MATCH(Quotation!B$18,Resume!$C$2:$F$2,0)),"")</f>
        <v>2</v>
      </c>
      <c r="C52" s="10" t="str">
        <f>IFERROR(INDEX(Resume!$C$3:$F$218,MATCH(ROW($B33),Resume!$N$3:$N$218,0),MATCH(Quotation!C$18,Resume!$C$2:$F$2,0)),"")</f>
        <v>M6-12B</v>
      </c>
      <c r="D52" s="1227" t="str">
        <f>IFERROR(INDEX(Resume!$C$3:$F$218,MATCH(ROW($B33),Resume!$N$3:$N$218,0),MATCH(Quotation!D$18,Resume!$C$2:$F$2,0)),"")</f>
        <v>Bolt for HJ-15 set black zinc</v>
      </c>
      <c r="E52" s="1228"/>
      <c r="F52" s="620">
        <f>IFERROR(INDEX(Resume!$C$3:$F$218,MATCH(ROW($B33),Resume!$N$3:$N$218,0),MATCH(Quotation!F$18,Resume!$C$2:$F$2,0)),"")</f>
        <v>7.0000000000000007E-2</v>
      </c>
      <c r="G52" s="621">
        <f t="shared" si="0"/>
        <v>0.14000000000000001</v>
      </c>
      <c r="I52" s="540"/>
      <c r="J52" s="540"/>
    </row>
    <row r="53" spans="1:10">
      <c r="A53" s="502"/>
      <c r="B53" s="536">
        <f>IFERROR(INDEX(Resume!$C$3:$F$218,MATCH(ROW($B34),Resume!$N$3:$N$218,0),MATCH(Quotation!B$18,Resume!$C$2:$F$2,0)),"")</f>
        <v>200</v>
      </c>
      <c r="C53" s="10" t="str">
        <f>IFERROR(INDEX(Resume!$C$3:$F$218,MATCH(ROW($B34),Resume!$N$3:$N$218,0),MATCH(Quotation!C$18,Resume!$C$2:$F$2,0)),"")</f>
        <v>F-A85/8</v>
      </c>
      <c r="D53" s="1227" t="str">
        <f>IFERROR(INDEX(Resume!$C$3:$F$218,MATCH(ROW($B34),Resume!$N$3:$N$218,0),MATCH(Quotation!D$18,Resume!$C$2:$F$2,0)),"")</f>
        <v xml:space="preserve">100x Drilling screws #8 X 5/8" </v>
      </c>
      <c r="E53" s="1228"/>
      <c r="F53" s="620">
        <f>IFERROR(INDEX(Resume!$C$3:$F$218,MATCH(ROW($B34),Resume!$N$3:$N$218,0),MATCH(Quotation!F$18,Resume!$C$2:$F$2,0)),"")</f>
        <v>0.04</v>
      </c>
      <c r="G53" s="621">
        <f t="shared" si="0"/>
        <v>8</v>
      </c>
      <c r="I53" s="540"/>
      <c r="J53" s="540"/>
    </row>
    <row r="54" spans="1:10">
      <c r="A54" s="502"/>
      <c r="B54" s="536">
        <f>IFERROR(INDEX(Resume!$C$3:$F$218,MATCH(ROW($B35),Resume!$N$3:$N$218,0),MATCH(Quotation!B$18,Resume!$C$2:$F$2,0)),"")</f>
        <v>100</v>
      </c>
      <c r="C54" s="10" t="str">
        <f>IFERROR(INDEX(Resume!$C$3:$F$218,MATCH(ROW($B35),Resume!$N$3:$N$218,0),MATCH(Quotation!C$18,Resume!$C$2:$F$2,0)),"")</f>
        <v>F-C61</v>
      </c>
      <c r="D54" s="1227" t="str">
        <f>IFERROR(INDEX(Resume!$C$3:$F$218,MATCH(ROW($B35),Resume!$N$3:$N$218,0),MATCH(Quotation!D$18,Resume!$C$2:$F$2,0)),"")</f>
        <v>100x Counter. screws #6 X 1"</v>
      </c>
      <c r="E54" s="1228"/>
      <c r="F54" s="620">
        <f>IFERROR(INDEX(Resume!$C$3:$F$218,MATCH(ROW($B35),Resume!$N$3:$N$218,0),MATCH(Quotation!F$18,Resume!$C$2:$F$2,0)),"")</f>
        <v>0.04</v>
      </c>
      <c r="G54" s="621">
        <f t="shared" si="0"/>
        <v>4</v>
      </c>
      <c r="I54" s="540"/>
      <c r="J54" s="540"/>
    </row>
    <row r="55" spans="1:10">
      <c r="A55" s="502"/>
      <c r="B55" s="536">
        <f>IFERROR(INDEX(Resume!$C$3:$F$218,MATCH(ROW($B36),Resume!$N$3:$N$218,0),MATCH(Quotation!B$18,Resume!$C$2:$F$2,0)),"")</f>
        <v>200</v>
      </c>
      <c r="C55" s="10" t="str">
        <f>IFERROR(INDEX(Resume!$C$3:$F$218,MATCH(ROW($B36),Resume!$N$3:$N$218,0),MATCH(Quotation!C$18,Resume!$C$2:$F$2,0)),"")</f>
        <v>F-S81/2</v>
      </c>
      <c r="D55" s="1227" t="str">
        <f>IFERROR(INDEX(Resume!$C$3:$F$218,MATCH(ROW($B36),Resume!$N$3:$N$218,0),MATCH(Quotation!D$18,Resume!$C$2:$F$2,0)),"")</f>
        <v xml:space="preserve">100x Square screws #8 X 1/2" </v>
      </c>
      <c r="E55" s="1228"/>
      <c r="F55" s="620">
        <f>IFERROR(INDEX(Resume!$C$3:$F$218,MATCH(ROW($B36),Resume!$N$3:$N$218,0),MATCH(Quotation!F$18,Resume!$C$2:$F$2,0)),"")</f>
        <v>0.04</v>
      </c>
      <c r="G55" s="621">
        <f t="shared" si="0"/>
        <v>8</v>
      </c>
      <c r="I55" s="540"/>
      <c r="J55" s="540"/>
    </row>
    <row r="56" spans="1:10">
      <c r="A56" s="502"/>
      <c r="B56" s="536">
        <f>IFERROR(INDEX(Resume!$C$3:$F$218,MATCH(ROW($B37),Resume!$N$3:$N$218,0),MATCH(Quotation!B$18,Resume!$C$2:$F$2,0)),"")</f>
        <v>8</v>
      </c>
      <c r="C56" s="10" t="str">
        <f>IFERROR(INDEX(Resume!$C$3:$F$218,MATCH(ROW($B37),Resume!$N$3:$N$218,0),MATCH(Quotation!C$18,Resume!$C$2:$F$2,0)),"")</f>
        <v>WF-UP</v>
      </c>
      <c r="D56" s="1227" t="str">
        <f>IFERROR(INDEX(Resume!$C$3:$F$218,MATCH(ROW($B37),Resume!$N$3:$N$218,0),MATCH(Quotation!D$18,Resume!$C$2:$F$2,0)),"")</f>
        <v>Caster up bracket steel zinc</v>
      </c>
      <c r="E56" s="1228"/>
      <c r="F56" s="620">
        <f>IFERROR(INDEX(Resume!$C$3:$F$218,MATCH(ROW($B37),Resume!$N$3:$N$218,0),MATCH(Quotation!F$18,Resume!$C$2:$F$2,0)),"")</f>
        <v>0.8</v>
      </c>
      <c r="G56" s="621">
        <f t="shared" si="0"/>
        <v>6.4</v>
      </c>
      <c r="I56" s="540"/>
      <c r="J56" s="540"/>
    </row>
    <row r="57" spans="1:10">
      <c r="A57" s="502"/>
      <c r="B57" s="536">
        <f>IFERROR(INDEX(Resume!$C$3:$F$218,MATCH(ROW($B38),Resume!$N$3:$N$218,0),MATCH(Quotation!B$18,Resume!$C$2:$F$2,0)),"")</f>
        <v>8</v>
      </c>
      <c r="C57" s="10" t="str">
        <f>IFERROR(INDEX(Resume!$C$3:$F$218,MATCH(ROW($B38),Resume!$N$3:$N$218,0),MATCH(Quotation!C$18,Resume!$C$2:$F$2,0)),"")</f>
        <v>WF-LOW</v>
      </c>
      <c r="D57" s="1227" t="str">
        <f>IFERROR(INDEX(Resume!$C$3:$F$218,MATCH(ROW($B38),Resume!$N$3:$N$218,0),MATCH(Quotation!D$18,Resume!$C$2:$F$2,0)),"")</f>
        <v>Caster low bracket steel zinc</v>
      </c>
      <c r="E57" s="1228"/>
      <c r="F57" s="620">
        <f>IFERROR(INDEX(Resume!$C$3:$F$218,MATCH(ROW($B38),Resume!$N$3:$N$218,0),MATCH(Quotation!F$18,Resume!$C$2:$F$2,0)),"")</f>
        <v>0.8</v>
      </c>
      <c r="G57" s="621">
        <f t="shared" si="0"/>
        <v>6.4</v>
      </c>
      <c r="I57" s="540"/>
      <c r="J57" s="540"/>
    </row>
    <row r="58" spans="1:10">
      <c r="A58" s="502"/>
      <c r="B58" s="536">
        <f>IFERROR(INDEX(Resume!$C$3:$F$218,MATCH(ROW($B39),Resume!$N$3:$N$218,0),MATCH(Quotation!B$18,Resume!$C$2:$F$2,0)),"")</f>
        <v>16</v>
      </c>
      <c r="C58" s="10" t="str">
        <f>IFERROR(INDEX(Resume!$C$3:$F$218,MATCH(ROW($B39),Resume!$N$3:$N$218,0),MATCH(Quotation!C$18,Resume!$C$2:$F$2,0)),"")</f>
        <v>M8-35B</v>
      </c>
      <c r="D58" s="1227" t="str">
        <f>IFERROR(INDEX(Resume!$C$3:$F$218,MATCH(ROW($B39),Resume!$N$3:$N$218,0),MATCH(Quotation!D$18,Resume!$C$2:$F$2,0)),"")</f>
        <v>Bolt for 4" caster white zinc (4 per caster)</v>
      </c>
      <c r="E58" s="1228"/>
      <c r="F58" s="620">
        <f>IFERROR(INDEX(Resume!$C$3:$F$218,MATCH(ROW($B39),Resume!$N$3:$N$218,0),MATCH(Quotation!F$18,Resume!$C$2:$F$2,0)),"")</f>
        <v>0.15</v>
      </c>
      <c r="G58" s="621">
        <f t="shared" si="0"/>
        <v>2.4</v>
      </c>
      <c r="I58" s="540"/>
      <c r="J58" s="540"/>
    </row>
    <row r="59" spans="1:10">
      <c r="A59" s="502"/>
      <c r="B59" s="536">
        <f>IFERROR(INDEX(Resume!$C$3:$F$218,MATCH(ROW($B40),Resume!$N$3:$N$218,0),MATCH(Quotation!B$18,Resume!$C$2:$F$2,0)),"")</f>
        <v>16</v>
      </c>
      <c r="C59" s="10" t="str">
        <f>IFERROR(INDEX(Resume!$C$3:$F$218,MATCH(ROW($B40),Resume!$N$3:$N$218,0),MATCH(Quotation!C$18,Resume!$C$2:$F$2,0)),"")</f>
        <v>M8-N</v>
      </c>
      <c r="D59" s="1227" t="str">
        <f>IFERROR(INDEX(Resume!$C$3:$F$218,MATCH(ROW($B40),Resume!$N$3:$N$218,0),MATCH(Quotation!D$18,Resume!$C$2:$F$2,0)),"")</f>
        <v>Lock nut for caster white zinc</v>
      </c>
      <c r="E59" s="1228"/>
      <c r="F59" s="620">
        <f>IFERROR(INDEX(Resume!$C$3:$F$218,MATCH(ROW($B40),Resume!$N$3:$N$218,0),MATCH(Quotation!F$18,Resume!$C$2:$F$2,0)),"")</f>
        <v>0.06</v>
      </c>
      <c r="G59" s="621">
        <f t="shared" ref="G59" si="1">IFERROR(F59*B59,"")</f>
        <v>0.96</v>
      </c>
      <c r="I59" s="540"/>
      <c r="J59" s="540"/>
    </row>
    <row r="60" spans="1:10">
      <c r="A60" s="502"/>
      <c r="B60" s="536">
        <f>IFERROR(INDEX(Resume!$C$3:$F$218,MATCH(ROW($B41),Resume!$N$3:$N$218,0),MATCH(Quotation!B$18,Resume!$C$2:$F$2,0)),"")</f>
        <v>8</v>
      </c>
      <c r="C60" s="10" t="str">
        <f>IFERROR(INDEX(Resume!$C$3:$F$218,MATCH(ROW($B41),Resume!$N$3:$N$218,0),MATCH(Quotation!C$18,Resume!$C$2:$F$2,0)),"")</f>
        <v>W-3ESB</v>
      </c>
      <c r="D60" s="1227" t="str">
        <f>IFERROR(INDEX(Resume!$C$3:$F$218,MATCH(ROW($B41),Resume!$N$3:$N$218,0),MATCH(Quotation!D$18,Resume!$C$2:$F$2,0)),"")</f>
        <v>3'' Swivel stem caster brake</v>
      </c>
      <c r="E60" s="1228"/>
      <c r="F60" s="620">
        <f>IFERROR(INDEX(Resume!$C$3:$F$218,MATCH(ROW($B41),Resume!$N$3:$N$218,0),MATCH(Quotation!F$18,Resume!$C$2:$F$2,0)),"")</f>
        <v>9</v>
      </c>
      <c r="G60" s="621">
        <f t="shared" ref="G60:G61" si="2">IFERROR(F60*B60,"")</f>
        <v>72</v>
      </c>
      <c r="I60" s="540"/>
      <c r="J60" s="540"/>
    </row>
    <row r="61" spans="1:10">
      <c r="A61" s="502"/>
      <c r="B61" s="536">
        <f>IFERROR(INDEX(Resume!$C$3:$F$218,MATCH(ROW($B42),Resume!$N$3:$N$218,0),MATCH(Quotation!B$18,Resume!$C$2:$F$2,0)),"")</f>
        <v>6</v>
      </c>
      <c r="C61" s="10" t="str">
        <f>IFERROR(INDEX(Resume!$C$3:$F$218,MATCH(ROW($B42),Resume!$N$3:$N$218,0),MATCH(Quotation!C$18,Resume!$C$2:$F$2,0)),"")</f>
        <v>W-4ESB</v>
      </c>
      <c r="D61" s="1227" t="str">
        <f>IFERROR(INDEX(Resume!$C$3:$F$218,MATCH(ROW($B42),Resume!$N$3:$N$218,0),MATCH(Quotation!D$18,Resume!$C$2:$F$2,0)),"")</f>
        <v>4'' Swivel caster brake stem</v>
      </c>
      <c r="E61" s="1228"/>
      <c r="F61" s="620">
        <f>IFERROR(INDEX(Resume!$C$3:$F$218,MATCH(ROW($B42),Resume!$N$3:$N$218,0),MATCH(Quotation!F$18,Resume!$C$2:$F$2,0)),"")</f>
        <v>10</v>
      </c>
      <c r="G61" s="621">
        <f t="shared" si="2"/>
        <v>60</v>
      </c>
      <c r="I61" s="540"/>
      <c r="J61" s="540"/>
    </row>
    <row r="62" spans="1:10">
      <c r="A62" s="502"/>
      <c r="B62" s="536">
        <f>IFERROR(INDEX(Resume!$C$3:$F$218,MATCH(ROW($B43),Resume!$N$3:$N$218,0),MATCH(Quotation!B$18,Resume!$C$2:$F$2,0)),"")</f>
        <v>4</v>
      </c>
      <c r="C62" s="10" t="str">
        <f>IFERROR(INDEX(Resume!$C$3:$F$218,MATCH(ROW($B43),Resume!$N$3:$N$218,0),MATCH(Quotation!C$18,Resume!$C$2:$F$2,0)),"")</f>
        <v>W-4PSB</v>
      </c>
      <c r="D62" s="1227" t="str">
        <f>IFERROR(INDEX(Resume!$C$3:$F$218,MATCH(ROW($B43),Resume!$N$3:$N$218,0),MATCH(Quotation!D$18,Resume!$C$2:$F$2,0)),"")</f>
        <v>4'' Swivel plate caster brake</v>
      </c>
      <c r="E62" s="1228"/>
      <c r="F62" s="620">
        <f>IFERROR(INDEX(Resume!$C$3:$F$218,MATCH(ROW($B43),Resume!$N$3:$N$218,0),MATCH(Quotation!F$18,Resume!$C$2:$F$2,0)),"")</f>
        <v>10.75</v>
      </c>
      <c r="G62" s="621">
        <f t="shared" ref="G62" si="3">IFERROR(F62*B62,"")</f>
        <v>43</v>
      </c>
      <c r="I62" s="540"/>
      <c r="J62" s="540"/>
    </row>
    <row r="63" spans="1:10">
      <c r="A63" s="502"/>
      <c r="B63" s="541"/>
      <c r="C63" s="542" t="s">
        <v>31</v>
      </c>
      <c r="D63" s="541"/>
      <c r="E63" s="543"/>
      <c r="F63" s="544" t="str">
        <f>VLOOKUP(E1,B95:W97,17)</f>
        <v>SUB-TOTAL</v>
      </c>
      <c r="G63" s="622">
        <f>SUM(G19:G62)</f>
        <v>1559.4900000000005</v>
      </c>
      <c r="I63" s="540"/>
      <c r="J63" s="540"/>
    </row>
    <row r="64" spans="1:10">
      <c r="A64" s="502"/>
      <c r="B64" s="609" t="str">
        <f>VLOOKUP(E1,B95:W97,16)</f>
        <v>TRANSPORT SHOULD BE DONE BY:</v>
      </c>
      <c r="C64" s="610"/>
      <c r="D64" s="611">
        <f>Resume!I220</f>
        <v>552.69723999999997</v>
      </c>
      <c r="E64" s="543"/>
      <c r="F64" s="544" t="s">
        <v>97</v>
      </c>
      <c r="G64" s="623">
        <f>IF(F64= "NO TAXES",0,VLOOKUP(F64,B112:C121,2))*G63</f>
        <v>0</v>
      </c>
      <c r="I64" s="540"/>
      <c r="J64" s="540"/>
    </row>
    <row r="65" spans="1:10">
      <c r="A65" s="502"/>
      <c r="B65" s="545"/>
      <c r="C65" s="608">
        <f>IF(D65=Resume!E226,Resume!D226,IF(D65=Resume!E227,Resume!D227,IF(D65=Resume!E228,Resume!D228,IF(D65=Resume!E229,Resume!D229,IF(D65=Resume!E230,Resume!D230,0)))))</f>
        <v>1</v>
      </c>
      <c r="D65" s="607" t="str">
        <f>IFERROR(INDEX(Resume!$D$226:$G$230,MATCH(ROW($B1),Resume!$G$226:$G$230,0),MATCH(Quotation!D$64,Resume!$D$225:$G$225)),"")</f>
        <v>Wood skids 96'' X 48'' X 35'' (H)</v>
      </c>
      <c r="E65" s="543"/>
      <c r="F65" s="546" t="s">
        <v>60</v>
      </c>
      <c r="G65" s="623">
        <f>G63+G64</f>
        <v>1559.4900000000005</v>
      </c>
      <c r="I65" s="540"/>
      <c r="J65" s="540"/>
    </row>
    <row r="66" spans="1:10">
      <c r="A66" s="502"/>
      <c r="B66" s="547"/>
      <c r="C66" s="608">
        <f>IF(D66=Resume!E227,Resume!D227,IF(D66=Resume!E228,Resume!D228,IF(D66=Resume!E229,Resume!D229,IF(D66=Resume!E230,Resume!D230,IF(D66=Resume!E231,Resume!D231,0)))))</f>
        <v>0</v>
      </c>
      <c r="D66" s="607" t="str">
        <f>IFERROR(INDEX(Resume!$D$226:$G$230,MATCH(ROW($B2),Resume!$G$226:$G$230,0),MATCH(Quotation!D$64,Resume!$D$225:$G$225)),"")</f>
        <v/>
      </c>
      <c r="E66" s="548"/>
      <c r="F66" s="502"/>
      <c r="G66" s="502"/>
      <c r="I66" s="540"/>
      <c r="J66" s="540"/>
    </row>
    <row r="67" spans="1:10">
      <c r="A67" s="502"/>
      <c r="B67" s="547"/>
      <c r="C67" s="608" t="str">
        <f>VLOOKUP(E1,B95:W97,19)</f>
        <v>Total weight in lbs:</v>
      </c>
      <c r="D67" s="607">
        <f>ROUNDUP(Resume!I220,0)</f>
        <v>553</v>
      </c>
      <c r="E67" s="548"/>
      <c r="F67" s="502"/>
      <c r="G67" s="502"/>
      <c r="I67" s="540"/>
      <c r="J67" s="540"/>
    </row>
    <row r="68" spans="1:10" s="504" customFormat="1" ht="5.25" customHeight="1">
      <c r="A68" s="549"/>
      <c r="B68" s="550"/>
      <c r="C68" s="551"/>
      <c r="D68" s="552"/>
      <c r="E68" s="551"/>
      <c r="F68" s="549"/>
      <c r="G68" s="549"/>
      <c r="I68" s="540"/>
      <c r="J68" s="540"/>
    </row>
    <row r="69" spans="1:10" s="504" customFormat="1"/>
    <row r="70" spans="1:10" s="504" customFormat="1"/>
    <row r="71" spans="1:10" s="504" customFormat="1" hidden="1">
      <c r="B71" s="514" t="s">
        <v>33</v>
      </c>
    </row>
    <row r="72" spans="1:10" s="504" customFormat="1" hidden="1">
      <c r="B72" s="504" t="s">
        <v>423</v>
      </c>
      <c r="C72" s="504" t="s">
        <v>381</v>
      </c>
      <c r="D72" s="504">
        <v>311</v>
      </c>
      <c r="E72" s="504" t="s">
        <v>812</v>
      </c>
      <c r="F72" s="553" t="s">
        <v>424</v>
      </c>
    </row>
    <row r="73" spans="1:10" s="504" customFormat="1" hidden="1">
      <c r="B73" s="549" t="s">
        <v>925</v>
      </c>
      <c r="C73" s="504" t="s">
        <v>381</v>
      </c>
      <c r="D73" s="504">
        <v>302</v>
      </c>
      <c r="E73" s="504" t="s">
        <v>34</v>
      </c>
      <c r="F73" s="553" t="s">
        <v>35</v>
      </c>
    </row>
    <row r="74" spans="1:10" s="504" customFormat="1" hidden="1">
      <c r="B74" s="549" t="s">
        <v>497</v>
      </c>
      <c r="C74" s="504" t="s">
        <v>381</v>
      </c>
      <c r="D74" s="504">
        <v>304</v>
      </c>
      <c r="E74" s="554" t="s">
        <v>417</v>
      </c>
      <c r="F74" s="553" t="s">
        <v>38</v>
      </c>
    </row>
    <row r="75" spans="1:10" s="504" customFormat="1" hidden="1">
      <c r="B75" s="549" t="s">
        <v>919</v>
      </c>
      <c r="C75" s="504" t="s">
        <v>917</v>
      </c>
      <c r="D75" s="504">
        <v>306</v>
      </c>
      <c r="E75" s="554" t="s">
        <v>417</v>
      </c>
      <c r="F75" s="628" t="s">
        <v>920</v>
      </c>
    </row>
    <row r="76" spans="1:10" s="504" customFormat="1" hidden="1">
      <c r="B76" s="504" t="s">
        <v>427</v>
      </c>
      <c r="C76" s="504" t="s">
        <v>381</v>
      </c>
      <c r="D76" s="504">
        <v>313</v>
      </c>
      <c r="E76" s="554" t="s">
        <v>417</v>
      </c>
      <c r="F76" s="553" t="s">
        <v>430</v>
      </c>
    </row>
    <row r="77" spans="1:10" s="504" customFormat="1" hidden="1">
      <c r="B77" s="549" t="s">
        <v>924</v>
      </c>
      <c r="C77" s="504" t="s">
        <v>381</v>
      </c>
      <c r="D77" s="504">
        <v>10</v>
      </c>
      <c r="E77" s="504" t="s">
        <v>922</v>
      </c>
      <c r="F77" s="628" t="s">
        <v>918</v>
      </c>
    </row>
    <row r="78" spans="1:10" s="504" customFormat="1" hidden="1">
      <c r="B78" s="549" t="s">
        <v>41</v>
      </c>
      <c r="C78" s="504" t="s">
        <v>381</v>
      </c>
      <c r="D78" s="504">
        <v>301</v>
      </c>
      <c r="E78" s="504" t="s">
        <v>42</v>
      </c>
      <c r="F78" s="553" t="s">
        <v>43</v>
      </c>
    </row>
    <row r="79" spans="1:10" s="504" customFormat="1" hidden="1">
      <c r="B79" s="549" t="s">
        <v>407</v>
      </c>
      <c r="C79" s="504" t="s">
        <v>381</v>
      </c>
      <c r="D79" s="504">
        <v>9</v>
      </c>
      <c r="E79" s="549" t="s">
        <v>44</v>
      </c>
      <c r="F79" s="555" t="s">
        <v>408</v>
      </c>
    </row>
    <row r="80" spans="1:10" s="504" customFormat="1" hidden="1">
      <c r="B80" s="504" t="s">
        <v>414</v>
      </c>
      <c r="C80" s="504" t="s">
        <v>381</v>
      </c>
      <c r="D80" s="504">
        <v>8</v>
      </c>
      <c r="E80" s="504" t="s">
        <v>415</v>
      </c>
      <c r="F80" s="553" t="s">
        <v>416</v>
      </c>
    </row>
    <row r="81" spans="2:23" s="504" customFormat="1" hidden="1">
      <c r="B81" s="504" t="s">
        <v>916</v>
      </c>
      <c r="C81" s="504" t="s">
        <v>381</v>
      </c>
      <c r="D81" s="504">
        <v>11</v>
      </c>
      <c r="E81" s="504" t="s">
        <v>921</v>
      </c>
      <c r="F81" s="628" t="s">
        <v>923</v>
      </c>
    </row>
    <row r="82" spans="2:23" s="504" customFormat="1" hidden="1">
      <c r="B82" s="504" t="s">
        <v>426</v>
      </c>
      <c r="C82" s="504" t="s">
        <v>381</v>
      </c>
      <c r="D82" s="504">
        <v>6</v>
      </c>
      <c r="E82" s="504" t="s">
        <v>432</v>
      </c>
      <c r="F82" s="553" t="s">
        <v>431</v>
      </c>
    </row>
    <row r="83" spans="2:23" s="504" customFormat="1" hidden="1">
      <c r="B83" s="504" t="s">
        <v>475</v>
      </c>
      <c r="C83" s="504" t="s">
        <v>381</v>
      </c>
      <c r="D83" s="504">
        <v>4</v>
      </c>
      <c r="E83" s="504" t="s">
        <v>477</v>
      </c>
      <c r="F83" s="553" t="s">
        <v>476</v>
      </c>
    </row>
    <row r="84" spans="2:23" s="504" customFormat="1" hidden="1">
      <c r="B84" s="504" t="s">
        <v>914</v>
      </c>
      <c r="C84" s="504" t="s">
        <v>381</v>
      </c>
      <c r="D84" s="504">
        <v>308</v>
      </c>
      <c r="E84" s="554" t="s">
        <v>810</v>
      </c>
      <c r="F84" s="628" t="s">
        <v>915</v>
      </c>
    </row>
    <row r="85" spans="2:23" s="504" customFormat="1" hidden="1">
      <c r="B85" s="504" t="s">
        <v>514</v>
      </c>
      <c r="C85" s="504" t="s">
        <v>381</v>
      </c>
      <c r="D85" s="504">
        <v>309</v>
      </c>
      <c r="E85" s="554" t="s">
        <v>811</v>
      </c>
      <c r="F85" s="628" t="s">
        <v>515</v>
      </c>
    </row>
    <row r="86" spans="2:23" s="504" customFormat="1" hidden="1"/>
    <row r="87" spans="2:23" s="504" customFormat="1" hidden="1">
      <c r="B87" s="514" t="s">
        <v>46</v>
      </c>
    </row>
    <row r="88" spans="2:23" s="504" customFormat="1" hidden="1">
      <c r="B88" s="514"/>
    </row>
    <row r="89" spans="2:23" s="504" customFormat="1" hidden="1">
      <c r="B89" s="504" t="s">
        <v>428</v>
      </c>
      <c r="C89" s="504" t="s">
        <v>47</v>
      </c>
      <c r="D89" s="504" t="s">
        <v>379</v>
      </c>
      <c r="E89" s="504" t="s">
        <v>380</v>
      </c>
    </row>
    <row r="90" spans="2:23" s="504" customFormat="1" hidden="1">
      <c r="B90" s="504" t="s">
        <v>429</v>
      </c>
      <c r="C90" s="504" t="s">
        <v>926</v>
      </c>
      <c r="D90" s="534" t="s">
        <v>927</v>
      </c>
      <c r="E90" s="504" t="s">
        <v>380</v>
      </c>
    </row>
    <row r="91" spans="2:23" s="504" customFormat="1" hidden="1">
      <c r="D91" s="534"/>
    </row>
    <row r="92" spans="2:23" s="504" customFormat="1" hidden="1">
      <c r="D92" s="534"/>
      <c r="E92" s="534"/>
    </row>
    <row r="93" spans="2:23" s="504" customFormat="1" hidden="1"/>
    <row r="94" spans="2:23" s="504" customFormat="1" hidden="1">
      <c r="B94" s="514" t="s">
        <v>100</v>
      </c>
    </row>
    <row r="95" spans="2:23" s="504" customFormat="1" hidden="1"/>
    <row r="96" spans="2:23" s="504" customFormat="1" hidden="1">
      <c r="B96" s="504" t="s">
        <v>30</v>
      </c>
      <c r="C96" s="504" t="s">
        <v>48</v>
      </c>
      <c r="D96" s="504" t="s">
        <v>49</v>
      </c>
      <c r="E96" s="534" t="s">
        <v>391</v>
      </c>
      <c r="F96" s="534" t="s">
        <v>467</v>
      </c>
      <c r="G96" s="534" t="s">
        <v>12</v>
      </c>
      <c r="H96" s="534" t="s">
        <v>390</v>
      </c>
      <c r="I96" s="534" t="s">
        <v>53</v>
      </c>
      <c r="J96" s="534" t="s">
        <v>54</v>
      </c>
      <c r="K96" s="534" t="s">
        <v>478</v>
      </c>
      <c r="L96" s="534" t="s">
        <v>55</v>
      </c>
      <c r="M96" s="534" t="s">
        <v>56</v>
      </c>
      <c r="N96" s="534" t="s">
        <v>57</v>
      </c>
      <c r="O96" s="534" t="s">
        <v>58</v>
      </c>
      <c r="P96" s="534" t="s">
        <v>59</v>
      </c>
      <c r="Q96" s="534" t="s">
        <v>103</v>
      </c>
      <c r="R96" s="534" t="s">
        <v>15</v>
      </c>
      <c r="S96" s="534" t="s">
        <v>61</v>
      </c>
      <c r="T96" s="534" t="s">
        <v>107</v>
      </c>
      <c r="U96" s="504" t="s">
        <v>62</v>
      </c>
      <c r="V96" s="504" t="s">
        <v>63</v>
      </c>
      <c r="W96" s="556" t="s">
        <v>64</v>
      </c>
    </row>
    <row r="97" spans="2:23" s="504" customFormat="1" hidden="1">
      <c r="B97" s="504" t="s">
        <v>65</v>
      </c>
      <c r="C97" s="504" t="s">
        <v>66</v>
      </c>
      <c r="D97" s="504" t="s">
        <v>67</v>
      </c>
      <c r="E97" s="534" t="s">
        <v>68</v>
      </c>
      <c r="F97" s="534" t="s">
        <v>69</v>
      </c>
      <c r="G97" s="534" t="s">
        <v>70</v>
      </c>
      <c r="H97" s="534" t="s">
        <v>52</v>
      </c>
      <c r="I97" s="534" t="s">
        <v>71</v>
      </c>
      <c r="J97" s="534" t="s">
        <v>72</v>
      </c>
      <c r="K97" s="534" t="s">
        <v>73</v>
      </c>
      <c r="L97" s="534" t="s">
        <v>74</v>
      </c>
      <c r="M97" s="534" t="s">
        <v>75</v>
      </c>
      <c r="N97" s="534" t="s">
        <v>76</v>
      </c>
      <c r="O97" s="534" t="s">
        <v>58</v>
      </c>
      <c r="P97" s="534" t="s">
        <v>77</v>
      </c>
      <c r="Q97" s="534" t="s">
        <v>106</v>
      </c>
      <c r="R97" s="534" t="s">
        <v>78</v>
      </c>
      <c r="S97" s="534" t="s">
        <v>61</v>
      </c>
      <c r="T97" s="534" t="s">
        <v>108</v>
      </c>
      <c r="U97" s="534" t="s">
        <v>79</v>
      </c>
      <c r="V97" s="504" t="s">
        <v>80</v>
      </c>
      <c r="W97" s="504" t="s">
        <v>81</v>
      </c>
    </row>
    <row r="98" spans="2:23" s="504" customFormat="1" hidden="1">
      <c r="E98" s="534"/>
      <c r="F98" s="534"/>
      <c r="G98" s="534"/>
      <c r="H98" s="534"/>
      <c r="I98" s="534"/>
      <c r="J98" s="534"/>
      <c r="K98" s="534"/>
      <c r="L98" s="534"/>
      <c r="M98" s="534"/>
      <c r="N98" s="534"/>
      <c r="O98" s="534"/>
      <c r="P98" s="534"/>
      <c r="Q98" s="534"/>
      <c r="R98" s="534"/>
      <c r="S98" s="534"/>
      <c r="T98" s="534"/>
      <c r="U98" s="534"/>
    </row>
    <row r="99" spans="2:23" s="504" customFormat="1" hidden="1">
      <c r="E99" s="534"/>
      <c r="F99" s="534"/>
      <c r="G99" s="534"/>
      <c r="H99" s="534"/>
      <c r="I99" s="534"/>
      <c r="J99" s="534"/>
      <c r="K99" s="534"/>
      <c r="L99" s="534"/>
      <c r="M99" s="534"/>
      <c r="N99" s="534"/>
      <c r="O99" s="534"/>
      <c r="P99" s="534"/>
      <c r="Q99" s="534"/>
      <c r="R99" s="534"/>
      <c r="S99" s="534"/>
      <c r="T99" s="534"/>
      <c r="U99" s="534"/>
    </row>
    <row r="100" spans="2:23" s="504" customFormat="1" hidden="1"/>
    <row r="101" spans="2:23" s="504" customFormat="1" hidden="1"/>
    <row r="102" spans="2:23" s="504" customFormat="1" hidden="1">
      <c r="B102" s="514" t="s">
        <v>56</v>
      </c>
      <c r="E102" s="514" t="s">
        <v>516</v>
      </c>
    </row>
    <row r="103" spans="2:23" s="504" customFormat="1" hidden="1"/>
    <row r="104" spans="2:23" s="504" customFormat="1" hidden="1">
      <c r="B104" s="504" t="s">
        <v>88</v>
      </c>
      <c r="E104" s="504" t="s">
        <v>517</v>
      </c>
    </row>
    <row r="105" spans="2:23" s="504" customFormat="1" hidden="1">
      <c r="B105" s="504" t="s">
        <v>382</v>
      </c>
      <c r="E105" s="504" t="s">
        <v>518</v>
      </c>
    </row>
    <row r="106" spans="2:23" s="504" customFormat="1" hidden="1">
      <c r="B106" s="504" t="s">
        <v>383</v>
      </c>
    </row>
    <row r="107" spans="2:23" s="504" customFormat="1" hidden="1">
      <c r="B107" s="504" t="s">
        <v>89</v>
      </c>
    </row>
    <row r="108" spans="2:23" s="504" customFormat="1" hidden="1">
      <c r="B108" s="504" t="s">
        <v>389</v>
      </c>
    </row>
    <row r="109" spans="2:23" s="504" customFormat="1" hidden="1"/>
    <row r="110" spans="2:23" s="504" customFormat="1" hidden="1"/>
    <row r="111" spans="2:23" s="504" customFormat="1" hidden="1">
      <c r="B111" s="514" t="s">
        <v>61</v>
      </c>
    </row>
    <row r="112" spans="2:23" s="504" customFormat="1" hidden="1">
      <c r="C112" s="557">
        <v>0</v>
      </c>
    </row>
    <row r="113" spans="2:3" s="504" customFormat="1" hidden="1">
      <c r="B113" s="540" t="s">
        <v>4</v>
      </c>
      <c r="C113" s="558">
        <v>0.05</v>
      </c>
    </row>
    <row r="114" spans="2:3" s="504" customFormat="1" hidden="1">
      <c r="B114" s="540" t="s">
        <v>5</v>
      </c>
      <c r="C114" s="558">
        <v>0.05</v>
      </c>
    </row>
    <row r="115" spans="2:3" s="504" customFormat="1" hidden="1">
      <c r="B115" s="540" t="s">
        <v>91</v>
      </c>
      <c r="C115" s="558">
        <v>0.05</v>
      </c>
    </row>
    <row r="116" spans="2:3" s="504" customFormat="1" hidden="1">
      <c r="B116" s="540" t="s">
        <v>92</v>
      </c>
      <c r="C116" s="558">
        <v>0.05</v>
      </c>
    </row>
    <row r="117" spans="2:3" s="504" customFormat="1" hidden="1">
      <c r="B117" s="540" t="s">
        <v>93</v>
      </c>
      <c r="C117" s="558">
        <v>0.13</v>
      </c>
    </row>
    <row r="118" spans="2:3" s="504" customFormat="1" hidden="1">
      <c r="B118" s="540" t="s">
        <v>94</v>
      </c>
      <c r="C118" s="558">
        <v>0.05</v>
      </c>
    </row>
    <row r="119" spans="2:3" s="504" customFormat="1" hidden="1">
      <c r="B119" s="540" t="s">
        <v>95</v>
      </c>
      <c r="C119" s="558">
        <v>0.14974999999999999</v>
      </c>
    </row>
    <row r="120" spans="2:3" s="504" customFormat="1" hidden="1">
      <c r="B120" s="540" t="s">
        <v>96</v>
      </c>
      <c r="C120" s="558">
        <v>0.05</v>
      </c>
    </row>
    <row r="121" spans="2:3" s="504" customFormat="1" hidden="1">
      <c r="B121" s="504" t="s">
        <v>97</v>
      </c>
      <c r="C121" s="557">
        <v>0</v>
      </c>
    </row>
    <row r="122" spans="2:3" s="504" customFormat="1"/>
    <row r="123" spans="2:3" s="504" customFormat="1"/>
    <row r="124" spans="2:3" s="504" customFormat="1"/>
    <row r="125" spans="2:3" s="504" customFormat="1"/>
    <row r="126" spans="2:3" s="504" customFormat="1"/>
    <row r="127" spans="2:3" s="504" customFormat="1"/>
    <row r="128" spans="2:3" s="504" customFormat="1"/>
    <row r="129" s="504" customFormat="1"/>
    <row r="130" s="504" customFormat="1"/>
    <row r="131" s="504" customFormat="1"/>
    <row r="132" s="504" customFormat="1"/>
    <row r="133" s="504" customFormat="1"/>
    <row r="134" s="504" customFormat="1"/>
    <row r="135" s="504" customFormat="1"/>
    <row r="136" s="504" customFormat="1"/>
    <row r="137" s="504" customFormat="1"/>
    <row r="138" s="504" customFormat="1"/>
    <row r="139" s="504" customFormat="1"/>
    <row r="140" s="504" customFormat="1"/>
    <row r="141" s="504" customFormat="1"/>
    <row r="142" s="504" customFormat="1"/>
    <row r="143" s="504" customFormat="1"/>
    <row r="144" s="504" customFormat="1"/>
    <row r="145" s="504" customFormat="1"/>
    <row r="146" s="504" customFormat="1"/>
    <row r="147" s="504" customFormat="1"/>
    <row r="148" s="504" customFormat="1"/>
    <row r="149" s="504" customFormat="1"/>
    <row r="150" s="504" customFormat="1"/>
    <row r="151" s="504" customFormat="1"/>
    <row r="152" s="504" customFormat="1"/>
    <row r="153" s="504" customFormat="1"/>
    <row r="154" s="504" customFormat="1"/>
    <row r="155" s="504" customFormat="1"/>
    <row r="156" s="504" customFormat="1"/>
    <row r="157" s="504" customFormat="1"/>
    <row r="158" s="504" customFormat="1"/>
    <row r="159" s="504" customFormat="1"/>
    <row r="160" s="504" customFormat="1"/>
    <row r="161" s="504" customFormat="1"/>
    <row r="162" s="504" customFormat="1"/>
    <row r="163" s="504" customFormat="1"/>
    <row r="164" s="504" customFormat="1"/>
    <row r="165" s="504" customFormat="1"/>
    <row r="166" s="504" customFormat="1"/>
    <row r="167" s="504" customFormat="1"/>
    <row r="168" s="504" customFormat="1"/>
    <row r="169" s="504" customFormat="1"/>
    <row r="170" s="504" customFormat="1"/>
    <row r="171" s="504" customFormat="1"/>
    <row r="172" s="504" customFormat="1"/>
    <row r="173" s="504" customFormat="1"/>
    <row r="174" s="504" customFormat="1"/>
    <row r="175" s="504" customFormat="1"/>
    <row r="176" s="504" customFormat="1"/>
    <row r="177" s="504" customFormat="1"/>
    <row r="178" s="504" customFormat="1"/>
    <row r="179" s="504" customFormat="1"/>
    <row r="180" s="504" customFormat="1"/>
    <row r="181" s="504" customFormat="1"/>
    <row r="182" s="504" customFormat="1"/>
    <row r="183" s="504" customFormat="1"/>
    <row r="184" s="504" customFormat="1"/>
    <row r="185" s="504" customFormat="1"/>
    <row r="186" s="504" customFormat="1"/>
    <row r="187" s="504" customFormat="1"/>
    <row r="188" s="504" customFormat="1"/>
    <row r="189" s="504" customFormat="1"/>
    <row r="190" s="504" customFormat="1"/>
    <row r="191" s="504" customFormat="1"/>
    <row r="192" s="504" customFormat="1"/>
    <row r="193" s="504" customFormat="1"/>
    <row r="194" s="504" customFormat="1"/>
    <row r="195" s="504" customFormat="1"/>
    <row r="196" s="504" customFormat="1"/>
    <row r="197" s="504" customFormat="1"/>
    <row r="198" s="504" customFormat="1"/>
    <row r="199" s="504" customFormat="1"/>
    <row r="200" s="504" customFormat="1"/>
    <row r="201" s="504" customFormat="1"/>
    <row r="202" s="504" customFormat="1"/>
    <row r="203" s="504" customFormat="1"/>
    <row r="204" s="504" customFormat="1"/>
    <row r="205" s="504" customFormat="1"/>
    <row r="206" s="504" customFormat="1"/>
    <row r="207" s="504" customFormat="1"/>
    <row r="208" s="504" customFormat="1"/>
    <row r="209" s="504" customFormat="1"/>
    <row r="210" s="504" customFormat="1"/>
    <row r="211" s="504" customFormat="1"/>
    <row r="212" s="504" customFormat="1"/>
    <row r="213" s="504" customFormat="1"/>
    <row r="214" s="504" customFormat="1"/>
    <row r="215" s="504" customFormat="1"/>
    <row r="216" s="504" customFormat="1"/>
    <row r="217" s="504" customFormat="1"/>
    <row r="218" s="504" customFormat="1"/>
    <row r="219" s="504" customFormat="1"/>
    <row r="220" s="504" customFormat="1"/>
    <row r="221" s="504" customFormat="1"/>
    <row r="222" s="504" customFormat="1"/>
    <row r="223" s="504" customFormat="1"/>
    <row r="224" s="504" customFormat="1"/>
    <row r="225" s="504" customFormat="1"/>
    <row r="226" s="504" customFormat="1"/>
    <row r="227" s="504" customFormat="1"/>
    <row r="228" s="504" customFormat="1"/>
    <row r="229" s="504" customFormat="1"/>
    <row r="230" s="504" customFormat="1"/>
    <row r="231" s="504" customFormat="1"/>
    <row r="232" s="504" customFormat="1"/>
    <row r="233" s="504" customFormat="1"/>
    <row r="234" s="504" customFormat="1"/>
    <row r="235" s="504" customFormat="1"/>
    <row r="236" s="504" customFormat="1"/>
    <row r="237" s="504" customFormat="1"/>
    <row r="238" s="504" customFormat="1"/>
    <row r="239" s="504" customFormat="1"/>
    <row r="240" s="504" customFormat="1"/>
    <row r="241" s="504" customFormat="1"/>
    <row r="242" s="504" customFormat="1"/>
    <row r="243" s="504" customFormat="1"/>
    <row r="244" s="504" customFormat="1"/>
    <row r="245" s="504" customFormat="1"/>
    <row r="246" s="504" customFormat="1"/>
    <row r="247" s="504" customFormat="1"/>
    <row r="248" s="504" customFormat="1"/>
    <row r="249" s="504" customFormat="1"/>
    <row r="250" s="504" customFormat="1"/>
    <row r="251" s="504" customFormat="1"/>
    <row r="252" s="504" customFormat="1"/>
    <row r="253" s="504" customFormat="1"/>
    <row r="254" s="504" customFormat="1"/>
    <row r="255" s="504" customFormat="1"/>
    <row r="256" s="504" customFormat="1"/>
    <row r="257" s="504" customFormat="1"/>
    <row r="258" s="504" customFormat="1"/>
    <row r="259" s="504" customFormat="1"/>
    <row r="260" s="504" customFormat="1"/>
    <row r="261" s="504" customFormat="1"/>
    <row r="262" s="504" customFormat="1"/>
    <row r="263" s="504" customFormat="1"/>
    <row r="264" s="504" customFormat="1"/>
    <row r="265" s="504" customFormat="1"/>
    <row r="266" s="504" customFormat="1"/>
    <row r="267" s="504" customFormat="1"/>
    <row r="268" s="504" customFormat="1"/>
  </sheetData>
  <mergeCells count="52">
    <mergeCell ref="D36:E36"/>
    <mergeCell ref="D37:E37"/>
    <mergeCell ref="D38:E38"/>
    <mergeCell ref="D39:E39"/>
    <mergeCell ref="D31:E31"/>
    <mergeCell ref="D32:E32"/>
    <mergeCell ref="D33:E33"/>
    <mergeCell ref="D34:E34"/>
    <mergeCell ref="D35:E35"/>
    <mergeCell ref="D23:E23"/>
    <mergeCell ref="D24:E24"/>
    <mergeCell ref="D25:E25"/>
    <mergeCell ref="D26:E26"/>
    <mergeCell ref="D27:E27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28:E28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40:E40"/>
    <mergeCell ref="D29:E29"/>
    <mergeCell ref="D30:E30"/>
    <mergeCell ref="D62:E62"/>
    <mergeCell ref="D59:E59"/>
    <mergeCell ref="D60:E60"/>
    <mergeCell ref="D61:E61"/>
    <mergeCell ref="D53:E53"/>
    <mergeCell ref="D55:E55"/>
    <mergeCell ref="D54:E54"/>
    <mergeCell ref="D56:E56"/>
    <mergeCell ref="D57:E57"/>
    <mergeCell ref="D58:E58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4">
    <cfRule type="expression" dxfId="54" priority="13" stopIfTrue="1">
      <formula>$F$64=0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4">
      <formula1>$B$112:$B$121</formula1>
    </dataValidation>
    <dataValidation type="list" allowBlank="1" showInputMessage="1" showErrorMessage="1" sqref="G16">
      <formula1>$B$103:$B$108</formula1>
    </dataValidation>
    <dataValidation type="list" allowBlank="1" showInputMessage="1" showErrorMessage="1" sqref="E1:G2">
      <formula1>$B$95:$B$97</formula1>
    </dataValidation>
    <dataValidation type="list" allowBlank="1" showInputMessage="1" showErrorMessage="1" sqref="B3">
      <formula1>$B$88:$B$91</formula1>
    </dataValidation>
    <dataValidation type="list" allowBlank="1" showInputMessage="1" showErrorMessage="1" sqref="F8">
      <formula1>$B$72:$B$86</formula1>
    </dataValidation>
    <dataValidation type="list" allowBlank="1" showInputMessage="1" showErrorMessage="1" sqref="B16:D16">
      <formula1>$E$104:$E$105</formula1>
    </dataValidation>
  </dataValidations>
  <hyperlinks>
    <hyperlink ref="F73" r:id="rId1"/>
    <hyperlink ref="F77" r:id="rId2"/>
    <hyperlink ref="F78" r:id="rId3"/>
    <hyperlink ref="F74" r:id="rId4"/>
    <hyperlink ref="F79" r:id="rId5"/>
    <hyperlink ref="F13" r:id="rId6"/>
    <hyperlink ref="F80" r:id="rId7"/>
    <hyperlink ref="F72" r:id="rId8"/>
    <hyperlink ref="F76" r:id="rId9"/>
    <hyperlink ref="F82" r:id="rId10"/>
    <hyperlink ref="F83" r:id="rId11"/>
    <hyperlink ref="F85" r:id="rId12"/>
    <hyperlink ref="F84" r:id="rId13"/>
    <hyperlink ref="F75" r:id="rId14"/>
    <hyperlink ref="F81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168" activePane="bottomLeft" state="frozen"/>
      <selection pane="bottomLeft" activeCell="K179" sqref="K179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>
      <c r="A7" s="379" t="s">
        <v>153</v>
      </c>
      <c r="B7" s="380" t="s">
        <v>422</v>
      </c>
      <c r="C7" s="381">
        <f>'Order form'!N25</f>
        <v>40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260</v>
      </c>
      <c r="H7" s="383">
        <v>3.3879999999999999</v>
      </c>
      <c r="I7" s="384">
        <f t="shared" si="4"/>
        <v>135.51999999999998</v>
      </c>
      <c r="J7" s="384" t="s">
        <v>374</v>
      </c>
      <c r="K7" s="384">
        <v>12</v>
      </c>
      <c r="L7" s="384">
        <f t="shared" si="0"/>
        <v>3.3333333333333335</v>
      </c>
      <c r="M7" s="385">
        <f t="shared" si="1"/>
        <v>40.655999999999999</v>
      </c>
      <c r="N7" s="381">
        <f t="shared" si="2"/>
        <v>1</v>
      </c>
      <c r="O7" s="1252"/>
    </row>
    <row r="8" spans="1:15" s="386" customFormat="1" ht="12.6" customHeight="1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1</v>
      </c>
      <c r="O8" s="1252"/>
    </row>
    <row r="9" spans="1:15" s="386" customFormat="1" ht="12.6" customHeight="1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1</v>
      </c>
      <c r="O9" s="1252"/>
    </row>
    <row r="10" spans="1:15" s="386" customFormat="1" ht="12.6" customHeight="1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1</v>
      </c>
      <c r="O10" s="1252"/>
    </row>
    <row r="11" spans="1:15" s="386" customFormat="1" ht="12.6" customHeight="1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1</v>
      </c>
      <c r="O11" s="1252"/>
    </row>
    <row r="12" spans="1:15" s="386" customFormat="1">
      <c r="A12" s="379" t="s">
        <v>153</v>
      </c>
      <c r="B12" s="380" t="s">
        <v>422</v>
      </c>
      <c r="C12" s="381">
        <f>'Order form'!N30</f>
        <v>0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12</v>
      </c>
      <c r="L12" s="384">
        <f t="shared" si="0"/>
        <v>0</v>
      </c>
      <c r="M12" s="385">
        <f t="shared" si="1"/>
        <v>40.655999999999999</v>
      </c>
      <c r="N12" s="381">
        <f t="shared" si="2"/>
        <v>1</v>
      </c>
      <c r="O12" s="388"/>
    </row>
    <row r="13" spans="1:15" s="386" customFormat="1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88"/>
    </row>
    <row r="14" spans="1:15" s="386" customFormat="1">
      <c r="A14" s="379" t="s">
        <v>153</v>
      </c>
      <c r="B14" s="380" t="s">
        <v>422</v>
      </c>
      <c r="C14" s="381">
        <f>'Order form'!N32</f>
        <v>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12</v>
      </c>
      <c r="L14" s="384">
        <f t="shared" si="0"/>
        <v>0</v>
      </c>
      <c r="M14" s="385">
        <f t="shared" si="1"/>
        <v>30.096</v>
      </c>
      <c r="N14" s="381">
        <f t="shared" si="2"/>
        <v>1</v>
      </c>
      <c r="O14" s="388"/>
    </row>
    <row r="15" spans="1:15" s="386" customFormat="1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1</v>
      </c>
      <c r="O15" s="388"/>
    </row>
    <row r="16" spans="1:15" s="386" customFormat="1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1</v>
      </c>
      <c r="O16" s="388"/>
    </row>
    <row r="17" spans="1:31" s="386" customFormat="1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1</v>
      </c>
      <c r="O17" s="388"/>
    </row>
    <row r="18" spans="1:31" s="386" customFormat="1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1</v>
      </c>
      <c r="O18" s="389">
        <f>SUM(G4:G18)</f>
        <v>260</v>
      </c>
    </row>
    <row r="19" spans="1:31" s="651" customFormat="1" ht="12.6" customHeight="1">
      <c r="A19" s="648" t="s">
        <v>153</v>
      </c>
      <c r="B19" s="649" t="s">
        <v>158</v>
      </c>
      <c r="C19" s="652">
        <f>'Order form'!F48</f>
        <v>8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148</v>
      </c>
      <c r="H19" s="218">
        <v>5.984</v>
      </c>
      <c r="I19" s="219">
        <f t="shared" ref="I19:I136" si="5">C19*H19</f>
        <v>47.872</v>
      </c>
      <c r="J19" s="219" t="s">
        <v>374</v>
      </c>
      <c r="K19" s="219">
        <f>'Order form'!G49</f>
        <v>6</v>
      </c>
      <c r="L19" s="219">
        <f t="shared" si="0"/>
        <v>1.3333333333333333</v>
      </c>
      <c r="M19" s="650">
        <f t="shared" si="1"/>
        <v>35.903999999999996</v>
      </c>
      <c r="N19" s="381">
        <f t="shared" si="2"/>
        <v>2</v>
      </c>
      <c r="O19" s="1253"/>
    </row>
    <row r="20" spans="1:31" s="651" customFormat="1">
      <c r="A20" s="648" t="s">
        <v>153</v>
      </c>
      <c r="B20" s="649" t="s">
        <v>158</v>
      </c>
      <c r="C20" s="652">
        <f>'Order form'!K48</f>
        <v>24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33.599999999999994</v>
      </c>
      <c r="H20" s="218">
        <v>0.34100000000000003</v>
      </c>
      <c r="I20" s="219">
        <f t="shared" si="5"/>
        <v>8.1840000000000011</v>
      </c>
      <c r="J20" s="219" t="s">
        <v>22</v>
      </c>
      <c r="K20" s="219">
        <f>'Order form'!L49</f>
        <v>30</v>
      </c>
      <c r="L20" s="219">
        <f t="shared" si="0"/>
        <v>0.8</v>
      </c>
      <c r="M20" s="650">
        <f t="shared" si="1"/>
        <v>10.23</v>
      </c>
      <c r="N20" s="381">
        <f t="shared" si="2"/>
        <v>3</v>
      </c>
      <c r="O20" s="1254"/>
    </row>
    <row r="21" spans="1:31" s="651" customFormat="1">
      <c r="A21" s="648" t="s">
        <v>153</v>
      </c>
      <c r="B21" s="649" t="s">
        <v>158</v>
      </c>
      <c r="C21" s="652">
        <f>'Order form'!P48</f>
        <v>0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0</v>
      </c>
      <c r="H21" s="218">
        <v>0.44</v>
      </c>
      <c r="I21" s="219">
        <f t="shared" si="5"/>
        <v>0</v>
      </c>
      <c r="J21" s="219" t="s">
        <v>22</v>
      </c>
      <c r="K21" s="219">
        <f>'Order form'!Q49</f>
        <v>30</v>
      </c>
      <c r="L21" s="219">
        <f t="shared" si="0"/>
        <v>0</v>
      </c>
      <c r="M21" s="650">
        <f t="shared" si="1"/>
        <v>13.2</v>
      </c>
      <c r="N21" s="381">
        <f t="shared" si="2"/>
        <v>3</v>
      </c>
      <c r="O21" s="1254"/>
    </row>
    <row r="22" spans="1:31" s="651" customFormat="1">
      <c r="A22" s="648" t="s">
        <v>153</v>
      </c>
      <c r="B22" s="649" t="s">
        <v>158</v>
      </c>
      <c r="C22" s="652">
        <f>'Order form'!F58</f>
        <v>0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0</v>
      </c>
      <c r="H22" s="218">
        <v>0.60499999999999998</v>
      </c>
      <c r="I22" s="219">
        <f t="shared" si="5"/>
        <v>0</v>
      </c>
      <c r="J22" s="219" t="s">
        <v>22</v>
      </c>
      <c r="K22" s="219">
        <f>'Order form'!G59</f>
        <v>20</v>
      </c>
      <c r="L22" s="219">
        <f t="shared" si="0"/>
        <v>0</v>
      </c>
      <c r="M22" s="650">
        <f t="shared" si="1"/>
        <v>12.1</v>
      </c>
      <c r="N22" s="381">
        <f t="shared" si="2"/>
        <v>3</v>
      </c>
      <c r="O22" s="1254"/>
    </row>
    <row r="23" spans="1:31" s="651" customFormat="1">
      <c r="A23" s="648" t="s">
        <v>153</v>
      </c>
      <c r="B23" s="649" t="s">
        <v>158</v>
      </c>
      <c r="C23" s="652">
        <f>'Order form'!U48</f>
        <v>24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40.799999999999997</v>
      </c>
      <c r="H23" s="218">
        <v>0.40150000000000002</v>
      </c>
      <c r="I23" s="219">
        <f t="shared" si="5"/>
        <v>9.636000000000001</v>
      </c>
      <c r="J23" s="219" t="s">
        <v>22</v>
      </c>
      <c r="K23" s="219">
        <f>'Order form'!V49</f>
        <v>25</v>
      </c>
      <c r="L23" s="219">
        <f t="shared" si="0"/>
        <v>0.96</v>
      </c>
      <c r="M23" s="650">
        <f t="shared" si="1"/>
        <v>10.037500000000001</v>
      </c>
      <c r="N23" s="381">
        <f t="shared" si="2"/>
        <v>4</v>
      </c>
      <c r="O23" s="1254"/>
    </row>
    <row r="24" spans="1:31" s="651" customFormat="1">
      <c r="A24" s="648" t="s">
        <v>153</v>
      </c>
      <c r="B24" s="649" t="s">
        <v>158</v>
      </c>
      <c r="C24" s="652">
        <f>'Order form'!Z48</f>
        <v>0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0</v>
      </c>
      <c r="H24" s="218">
        <v>0.34100000000000003</v>
      </c>
      <c r="I24" s="219">
        <f t="shared" si="5"/>
        <v>0</v>
      </c>
      <c r="J24" s="219" t="s">
        <v>22</v>
      </c>
      <c r="K24" s="219">
        <f>'Order form'!AA49</f>
        <v>40</v>
      </c>
      <c r="L24" s="219">
        <f t="shared" si="0"/>
        <v>0</v>
      </c>
      <c r="M24" s="650">
        <f t="shared" si="1"/>
        <v>13.64</v>
      </c>
      <c r="N24" s="381">
        <f t="shared" si="2"/>
        <v>4</v>
      </c>
      <c r="O24" s="1254"/>
    </row>
    <row r="25" spans="1:31" s="651" customFormat="1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4</v>
      </c>
      <c r="O25" s="1254"/>
    </row>
    <row r="26" spans="1:31" s="651" customFormat="1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4</v>
      </c>
      <c r="O26" s="1254"/>
    </row>
    <row r="27" spans="1:31" s="651" customFormat="1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4</v>
      </c>
      <c r="O27" s="1254"/>
    </row>
    <row r="28" spans="1:31" s="651" customFormat="1">
      <c r="A28" s="648" t="s">
        <v>153</v>
      </c>
      <c r="B28" s="649" t="s">
        <v>158</v>
      </c>
      <c r="C28" s="652">
        <f>'Order form'!Z58</f>
        <v>0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0</v>
      </c>
      <c r="H28" s="218">
        <v>6.1379999999999999</v>
      </c>
      <c r="I28" s="219">
        <f t="shared" si="5"/>
        <v>0</v>
      </c>
      <c r="J28" s="219" t="s">
        <v>374</v>
      </c>
      <c r="K28" s="219">
        <f>'Order form'!AA59</f>
        <v>6</v>
      </c>
      <c r="L28" s="219">
        <f t="shared" si="0"/>
        <v>0</v>
      </c>
      <c r="M28" s="650">
        <f t="shared" si="1"/>
        <v>36.828000000000003</v>
      </c>
      <c r="N28" s="381">
        <f t="shared" si="2"/>
        <v>4</v>
      </c>
      <c r="O28" s="684"/>
    </row>
    <row r="29" spans="1:31" s="651" customFormat="1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4</v>
      </c>
      <c r="O29" s="683">
        <f>SUM(G19:G29)</f>
        <v>222.39999999999998</v>
      </c>
    </row>
    <row r="30" spans="1:31" s="386" customFormat="1" ht="12.6" customHeight="1">
      <c r="A30" s="703" t="s">
        <v>153</v>
      </c>
      <c r="B30" s="704" t="s">
        <v>156</v>
      </c>
      <c r="C30" s="702">
        <f>'Order form'!F134*2+'Order form'!F80</f>
        <v>154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84.7</v>
      </c>
      <c r="H30" s="706">
        <v>0.1474</v>
      </c>
      <c r="I30" s="707">
        <f t="shared" si="5"/>
        <v>22.6996</v>
      </c>
      <c r="J30" s="707" t="s">
        <v>22</v>
      </c>
      <c r="K30" s="707">
        <f>'Order form'!G81</f>
        <v>225</v>
      </c>
      <c r="L30" s="707">
        <f t="shared" si="0"/>
        <v>0.68444444444444441</v>
      </c>
      <c r="M30" s="708">
        <f t="shared" si="1"/>
        <v>33.164999999999999</v>
      </c>
      <c r="N30" s="702">
        <f>IF(C30=0,N28,N28+1)</f>
        <v>5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>
      <c r="A31" s="703" t="s">
        <v>153</v>
      </c>
      <c r="B31" s="704" t="s">
        <v>156</v>
      </c>
      <c r="C31" s="702">
        <f>'Order form'!K80+('Order form'!K134*1)+('Order form'!P134*2)+('Order form'!Z134*4)</f>
        <v>38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34.96</v>
      </c>
      <c r="H31" s="706">
        <v>0.20680000000000001</v>
      </c>
      <c r="I31" s="707">
        <f t="shared" si="5"/>
        <v>7.8584000000000005</v>
      </c>
      <c r="J31" s="707" t="s">
        <v>22</v>
      </c>
      <c r="K31" s="707">
        <f>'Order form'!L81</f>
        <v>150</v>
      </c>
      <c r="L31" s="707">
        <f t="shared" si="0"/>
        <v>0.25333333333333335</v>
      </c>
      <c r="M31" s="708">
        <f t="shared" si="1"/>
        <v>31.020000000000003</v>
      </c>
      <c r="N31" s="702">
        <f t="shared" si="2"/>
        <v>6</v>
      </c>
      <c r="O31" s="699"/>
    </row>
    <row r="32" spans="1:31" s="386" customFormat="1" ht="12.4" customHeight="1">
      <c r="A32" s="703" t="s">
        <v>153</v>
      </c>
      <c r="B32" s="704" t="s">
        <v>156</v>
      </c>
      <c r="C32" s="702">
        <f>'Order form'!P80+('Order form'!K134*1)</f>
        <v>32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30.4</v>
      </c>
      <c r="H32" s="706">
        <v>0.26400000000000001</v>
      </c>
      <c r="I32" s="707">
        <f t="shared" si="5"/>
        <v>8.4480000000000004</v>
      </c>
      <c r="J32" s="707" t="s">
        <v>22</v>
      </c>
      <c r="K32" s="707">
        <f>'Order form'!Q81</f>
        <v>60</v>
      </c>
      <c r="L32" s="707">
        <f t="shared" si="0"/>
        <v>0.53333333333333333</v>
      </c>
      <c r="M32" s="708">
        <f t="shared" si="1"/>
        <v>15.84</v>
      </c>
      <c r="N32" s="702">
        <f t="shared" si="2"/>
        <v>7</v>
      </c>
      <c r="O32" s="699"/>
    </row>
    <row r="33" spans="1:15" s="386" customFormat="1" ht="12.4" customHeight="1">
      <c r="A33" s="703" t="s">
        <v>153</v>
      </c>
      <c r="B33" s="704" t="s">
        <v>156</v>
      </c>
      <c r="C33" s="702">
        <f>'Order form'!U80+('Order form'!P134*1)+('Order form'!U134*2)</f>
        <v>22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18.7</v>
      </c>
      <c r="H33" s="706">
        <v>0.23320000000000002</v>
      </c>
      <c r="I33" s="707">
        <f t="shared" si="5"/>
        <v>5.1304000000000007</v>
      </c>
      <c r="J33" s="707" t="s">
        <v>22</v>
      </c>
      <c r="K33" s="707">
        <f>'Order form'!V81</f>
        <v>150</v>
      </c>
      <c r="L33" s="707">
        <f t="shared" si="0"/>
        <v>0.14666666666666667</v>
      </c>
      <c r="M33" s="708">
        <f t="shared" si="1"/>
        <v>34.980000000000004</v>
      </c>
      <c r="N33" s="702">
        <f t="shared" si="2"/>
        <v>8</v>
      </c>
      <c r="O33" s="699"/>
    </row>
    <row r="34" spans="1:15" s="386" customFormat="1" ht="12.4" customHeight="1">
      <c r="A34" s="703" t="s">
        <v>153</v>
      </c>
      <c r="B34" s="704" t="s">
        <v>156</v>
      </c>
      <c r="C34" s="702">
        <f>'Order form'!Z80+('Order form'!F145*2)</f>
        <v>8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4</v>
      </c>
      <c r="H34" s="706">
        <v>9.9000000000000005E-2</v>
      </c>
      <c r="I34" s="707">
        <f t="shared" si="5"/>
        <v>0.79200000000000004</v>
      </c>
      <c r="J34" s="707" t="s">
        <v>22</v>
      </c>
      <c r="K34" s="707">
        <f>'Order form'!AA81</f>
        <v>225</v>
      </c>
      <c r="L34" s="707">
        <f t="shared" si="0"/>
        <v>3.5555555555555556E-2</v>
      </c>
      <c r="M34" s="708">
        <f t="shared" si="1"/>
        <v>22.275000000000002</v>
      </c>
      <c r="N34" s="702">
        <f t="shared" si="2"/>
        <v>9</v>
      </c>
      <c r="O34" s="699"/>
    </row>
    <row r="35" spans="1:15" s="386" customFormat="1" ht="12.4" customHeight="1">
      <c r="A35" s="703" t="s">
        <v>153</v>
      </c>
      <c r="B35" s="704" t="s">
        <v>156</v>
      </c>
      <c r="C35" s="702">
        <f>'Order form'!F90+('Order form'!F145*2)+('Order form'!K145*2)+('Order form'!U156*4)</f>
        <v>8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4</v>
      </c>
      <c r="H35" s="706">
        <v>0.1298</v>
      </c>
      <c r="I35" s="707">
        <f t="shared" si="5"/>
        <v>1.0384</v>
      </c>
      <c r="J35" s="707" t="s">
        <v>22</v>
      </c>
      <c r="K35" s="707">
        <f>'Order form'!G91</f>
        <v>225</v>
      </c>
      <c r="L35" s="707">
        <f t="shared" si="0"/>
        <v>3.5555555555555556E-2</v>
      </c>
      <c r="M35" s="708">
        <f t="shared" si="1"/>
        <v>29.204999999999998</v>
      </c>
      <c r="N35" s="702">
        <f t="shared" si="2"/>
        <v>10</v>
      </c>
      <c r="O35" s="699"/>
    </row>
    <row r="36" spans="1:15" s="386" customFormat="1" ht="12.4" customHeight="1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702">
        <f t="shared" si="2"/>
        <v>10</v>
      </c>
      <c r="O36" s="699"/>
    </row>
    <row r="37" spans="1:15" s="386" customFormat="1" ht="12.4" customHeight="1">
      <c r="A37" s="703" t="s">
        <v>153</v>
      </c>
      <c r="B37" s="704" t="s">
        <v>156</v>
      </c>
      <c r="C37" s="702">
        <f>'Order form'!P90+('Order form'!P145*2)</f>
        <v>0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0</v>
      </c>
      <c r="H37" s="706">
        <v>0.10560000000000001</v>
      </c>
      <c r="I37" s="707">
        <f t="shared" si="5"/>
        <v>0</v>
      </c>
      <c r="J37" s="707" t="s">
        <v>22</v>
      </c>
      <c r="K37" s="707">
        <f>'Order form'!Q91</f>
        <v>150</v>
      </c>
      <c r="L37" s="707">
        <f t="shared" si="0"/>
        <v>0</v>
      </c>
      <c r="M37" s="708">
        <f t="shared" si="1"/>
        <v>15.840000000000002</v>
      </c>
      <c r="N37" s="702">
        <f t="shared" si="2"/>
        <v>10</v>
      </c>
      <c r="O37" s="699"/>
    </row>
    <row r="38" spans="1:15" s="386" customFormat="1" ht="12.4" customHeight="1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702">
        <f t="shared" si="2"/>
        <v>10</v>
      </c>
      <c r="O38" s="699"/>
    </row>
    <row r="39" spans="1:15" s="386" customFormat="1" ht="12.4" customHeight="1">
      <c r="A39" s="703" t="s">
        <v>153</v>
      </c>
      <c r="B39" s="704" t="s">
        <v>156</v>
      </c>
      <c r="C39" s="702">
        <f>'Order form'!Z90+('Order form'!Z145*1)</f>
        <v>0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0</v>
      </c>
      <c r="H39" s="706">
        <v>0.14740000000000003</v>
      </c>
      <c r="I39" s="707">
        <f t="shared" si="5"/>
        <v>0</v>
      </c>
      <c r="J39" s="707" t="s">
        <v>22</v>
      </c>
      <c r="K39" s="707">
        <f>'Order form'!AA91</f>
        <v>180</v>
      </c>
      <c r="L39" s="707">
        <f t="shared" si="0"/>
        <v>0</v>
      </c>
      <c r="M39" s="708">
        <f t="shared" si="1"/>
        <v>26.532000000000007</v>
      </c>
      <c r="N39" s="702">
        <f t="shared" si="2"/>
        <v>10</v>
      </c>
      <c r="O39" s="699"/>
    </row>
    <row r="40" spans="1:15" s="386" customFormat="1" ht="12.4" customHeight="1">
      <c r="A40" s="703" t="s">
        <v>153</v>
      </c>
      <c r="B40" s="704" t="s">
        <v>156</v>
      </c>
      <c r="C40" s="702">
        <f>'Order form'!F100+('Order form'!Z145*1)+('Order form'!F156*2)</f>
        <v>18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16.2</v>
      </c>
      <c r="H40" s="706">
        <v>0.13640000000000002</v>
      </c>
      <c r="I40" s="707">
        <f t="shared" si="5"/>
        <v>2.4552000000000005</v>
      </c>
      <c r="J40" s="707" t="s">
        <v>22</v>
      </c>
      <c r="K40" s="707">
        <f>'Order form'!G101</f>
        <v>245</v>
      </c>
      <c r="L40" s="707">
        <f t="shared" si="0"/>
        <v>7.3469387755102047E-2</v>
      </c>
      <c r="M40" s="708">
        <f t="shared" si="1"/>
        <v>33.418000000000006</v>
      </c>
      <c r="N40" s="702">
        <f t="shared" si="2"/>
        <v>11</v>
      </c>
      <c r="O40" s="699"/>
    </row>
    <row r="41" spans="1:15" s="386" customFormat="1" ht="12.4" customHeight="1">
      <c r="A41" s="703" t="s">
        <v>153</v>
      </c>
      <c r="B41" s="704" t="s">
        <v>156</v>
      </c>
      <c r="C41" s="702">
        <f>'Order form'!K100+('Order form'!K156*2)</f>
        <v>10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7.5</v>
      </c>
      <c r="H41" s="706">
        <v>0.1386</v>
      </c>
      <c r="I41" s="707">
        <f t="shared" si="5"/>
        <v>1.3860000000000001</v>
      </c>
      <c r="J41" s="707" t="s">
        <v>22</v>
      </c>
      <c r="K41" s="707">
        <f>'Order form'!L101</f>
        <v>180</v>
      </c>
      <c r="L41" s="707">
        <f t="shared" si="0"/>
        <v>5.5555555555555552E-2</v>
      </c>
      <c r="M41" s="708">
        <f t="shared" si="1"/>
        <v>24.948</v>
      </c>
      <c r="N41" s="702">
        <f t="shared" si="2"/>
        <v>12</v>
      </c>
      <c r="O41" s="699"/>
    </row>
    <row r="42" spans="1:15" s="386" customFormat="1" ht="12.4" customHeight="1">
      <c r="A42" s="703" t="s">
        <v>153</v>
      </c>
      <c r="B42" s="704" t="s">
        <v>156</v>
      </c>
      <c r="C42" s="702">
        <f>'Order form'!P100+('Order form'!P156*2)</f>
        <v>22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15.18</v>
      </c>
      <c r="H42" s="706">
        <v>0.11660000000000001</v>
      </c>
      <c r="I42" s="707">
        <f t="shared" si="5"/>
        <v>2.5652000000000004</v>
      </c>
      <c r="J42" s="707" t="s">
        <v>22</v>
      </c>
      <c r="K42" s="707">
        <f>'Order form'!Q101</f>
        <v>225</v>
      </c>
      <c r="L42" s="707">
        <f t="shared" si="0"/>
        <v>9.7777777777777783E-2</v>
      </c>
      <c r="M42" s="708">
        <f t="shared" si="1"/>
        <v>26.235000000000003</v>
      </c>
      <c r="N42" s="702">
        <f t="shared" si="2"/>
        <v>13</v>
      </c>
      <c r="O42" s="699"/>
    </row>
    <row r="43" spans="1:15" s="386" customFormat="1" ht="12.4" customHeight="1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702">
        <f t="shared" si="2"/>
        <v>13</v>
      </c>
      <c r="O43" s="699"/>
    </row>
    <row r="44" spans="1:15" s="386" customFormat="1" ht="12.4" customHeight="1">
      <c r="A44" s="703" t="s">
        <v>153</v>
      </c>
      <c r="B44" s="704" t="s">
        <v>156</v>
      </c>
      <c r="C44" s="702">
        <f>'Order form'!Z100+('Order form'!Z156*1)</f>
        <v>2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1.5</v>
      </c>
      <c r="H44" s="706">
        <v>8.3600000000000008E-2</v>
      </c>
      <c r="I44" s="707">
        <f t="shared" si="5"/>
        <v>0.16720000000000002</v>
      </c>
      <c r="J44" s="707" t="s">
        <v>22</v>
      </c>
      <c r="K44" s="707">
        <f>'Order form'!AA101</f>
        <v>300</v>
      </c>
      <c r="L44" s="707">
        <f t="shared" si="0"/>
        <v>6.6666666666666671E-3</v>
      </c>
      <c r="M44" s="708">
        <f t="shared" si="1"/>
        <v>25.080000000000002</v>
      </c>
      <c r="N44" s="702">
        <f t="shared" si="2"/>
        <v>14</v>
      </c>
      <c r="O44" s="699"/>
    </row>
    <row r="45" spans="1:15" s="386" customFormat="1" ht="12.4" customHeight="1">
      <c r="A45" s="703" t="s">
        <v>153</v>
      </c>
      <c r="B45" s="704" t="s">
        <v>156</v>
      </c>
      <c r="C45" s="702">
        <f>'Order form'!F110+('Order form'!Z156*1)</f>
        <v>2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1.5</v>
      </c>
      <c r="H45" s="706">
        <v>0.10120000000000001</v>
      </c>
      <c r="I45" s="707">
        <f t="shared" si="5"/>
        <v>0.20240000000000002</v>
      </c>
      <c r="J45" s="707" t="s">
        <v>22</v>
      </c>
      <c r="K45" s="707">
        <f>'Order form'!G111</f>
        <v>300</v>
      </c>
      <c r="L45" s="707">
        <f t="shared" si="0"/>
        <v>6.6666666666666671E-3</v>
      </c>
      <c r="M45" s="708">
        <f t="shared" si="1"/>
        <v>30.360000000000003</v>
      </c>
      <c r="N45" s="702">
        <f t="shared" si="2"/>
        <v>15</v>
      </c>
      <c r="O45" s="699"/>
    </row>
    <row r="46" spans="1:15" s="386" customFormat="1" ht="12" customHeight="1">
      <c r="A46" s="703" t="s">
        <v>153</v>
      </c>
      <c r="B46" s="704" t="s">
        <v>156</v>
      </c>
      <c r="C46" s="702">
        <f>'Order form'!K110+('Order form'!F167*1)</f>
        <v>0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0</v>
      </c>
      <c r="H46" s="706">
        <v>0.15180000000000002</v>
      </c>
      <c r="I46" s="707">
        <f t="shared" si="5"/>
        <v>0</v>
      </c>
      <c r="J46" s="707" t="s">
        <v>22</v>
      </c>
      <c r="K46" s="707">
        <f>'Order form'!L111</f>
        <v>145</v>
      </c>
      <c r="L46" s="707">
        <f t="shared" si="0"/>
        <v>0</v>
      </c>
      <c r="M46" s="708">
        <f t="shared" si="1"/>
        <v>22.011000000000003</v>
      </c>
      <c r="N46" s="702">
        <f t="shared" si="2"/>
        <v>15</v>
      </c>
      <c r="O46" s="699"/>
    </row>
    <row r="47" spans="1:15" s="386" customFormat="1" ht="12" customHeight="1">
      <c r="A47" s="703" t="s">
        <v>153</v>
      </c>
      <c r="B47" s="704" t="s">
        <v>156</v>
      </c>
      <c r="C47" s="702">
        <f>'Order form'!P110+('Order form'!F167*1)</f>
        <v>0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0</v>
      </c>
      <c r="H47" s="706">
        <v>0.15180000000000002</v>
      </c>
      <c r="I47" s="707">
        <f t="shared" si="5"/>
        <v>0</v>
      </c>
      <c r="J47" s="707" t="s">
        <v>22</v>
      </c>
      <c r="K47" s="707">
        <f>'Order form'!Q111</f>
        <v>145</v>
      </c>
      <c r="L47" s="707">
        <f t="shared" si="0"/>
        <v>0</v>
      </c>
      <c r="M47" s="708">
        <f t="shared" si="1"/>
        <v>22.011000000000003</v>
      </c>
      <c r="N47" s="702">
        <f t="shared" si="2"/>
        <v>15</v>
      </c>
      <c r="O47" s="699"/>
    </row>
    <row r="48" spans="1:15" s="386" customFormat="1" ht="12" customHeight="1">
      <c r="A48" s="703" t="s">
        <v>153</v>
      </c>
      <c r="B48" s="704" t="s">
        <v>156</v>
      </c>
      <c r="C48" s="702">
        <f>'Order form'!U110+('Order form'!K167*2)</f>
        <v>4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3.2</v>
      </c>
      <c r="H48" s="756">
        <v>0.30975999999999998</v>
      </c>
      <c r="I48" s="707">
        <f t="shared" si="5"/>
        <v>1.2390399999999999</v>
      </c>
      <c r="J48" s="707" t="s">
        <v>22</v>
      </c>
      <c r="K48" s="707">
        <f>'Order form'!V111</f>
        <v>120</v>
      </c>
      <c r="L48" s="707">
        <f t="shared" si="0"/>
        <v>3.3333333333333333E-2</v>
      </c>
      <c r="M48" s="708">
        <f t="shared" si="1"/>
        <v>37.171199999999999</v>
      </c>
      <c r="N48" s="702">
        <f t="shared" si="2"/>
        <v>16</v>
      </c>
      <c r="O48" s="699"/>
    </row>
    <row r="49" spans="1:15" s="386" customFormat="1" ht="12" customHeight="1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702">
        <f t="shared" si="2"/>
        <v>16</v>
      </c>
      <c r="O49" s="699"/>
    </row>
    <row r="50" spans="1:15" s="386" customFormat="1" ht="12" customHeight="1">
      <c r="A50" s="703" t="s">
        <v>153</v>
      </c>
      <c r="B50" s="704" t="s">
        <v>156</v>
      </c>
      <c r="C50" s="702">
        <f>'Order form'!F120+('Order form'!U167*2)</f>
        <v>0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0</v>
      </c>
      <c r="H50" s="706">
        <v>0.28160000000000002</v>
      </c>
      <c r="I50" s="707">
        <f>C50*H50</f>
        <v>0</v>
      </c>
      <c r="J50" s="707" t="s">
        <v>22</v>
      </c>
      <c r="K50" s="707">
        <f>'Order form'!G121</f>
        <v>100</v>
      </c>
      <c r="L50" s="707">
        <f t="shared" si="0"/>
        <v>0</v>
      </c>
      <c r="M50" s="708">
        <f t="shared" si="1"/>
        <v>28.16</v>
      </c>
      <c r="N50" s="702">
        <f t="shared" si="2"/>
        <v>16</v>
      </c>
      <c r="O50" s="699"/>
    </row>
    <row r="51" spans="1:15" s="386" customFormat="1" ht="12" customHeight="1">
      <c r="A51" s="703" t="s">
        <v>153</v>
      </c>
      <c r="B51" s="704" t="s">
        <v>156</v>
      </c>
      <c r="C51" s="702">
        <f>'Order form'!K120</f>
        <v>0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0</v>
      </c>
      <c r="H51" s="706">
        <v>0.31900000000000001</v>
      </c>
      <c r="I51" s="707">
        <f>C51*H51</f>
        <v>0</v>
      </c>
      <c r="J51" s="707" t="s">
        <v>22</v>
      </c>
      <c r="K51" s="707">
        <f>'Order form'!L121</f>
        <v>72</v>
      </c>
      <c r="L51" s="707">
        <f t="shared" si="0"/>
        <v>0</v>
      </c>
      <c r="M51" s="708">
        <f t="shared" si="1"/>
        <v>22.968</v>
      </c>
      <c r="N51" s="702">
        <f t="shared" si="2"/>
        <v>16</v>
      </c>
      <c r="O51" s="700"/>
    </row>
    <row r="52" spans="1:15" s="386" customFormat="1" ht="12" customHeight="1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702">
        <f t="shared" si="2"/>
        <v>16</v>
      </c>
      <c r="O52" s="700"/>
    </row>
    <row r="53" spans="1:15" s="660" customFormat="1" ht="12" customHeight="1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702">
        <f>IF(C53=0,N51,N51+1)</f>
        <v>16</v>
      </c>
      <c r="O53" s="700"/>
    </row>
    <row r="54" spans="1:15" s="660" customFormat="1" ht="12" customHeight="1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702">
        <f t="shared" si="2"/>
        <v>16</v>
      </c>
      <c r="O54" s="700"/>
    </row>
    <row r="55" spans="1:15" s="660" customFormat="1" ht="12" customHeight="1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702">
        <f t="shared" si="2"/>
        <v>16</v>
      </c>
      <c r="O55" s="700"/>
    </row>
    <row r="56" spans="1:15" s="660" customFormat="1" ht="12" customHeight="1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702">
        <f t="shared" si="2"/>
        <v>16</v>
      </c>
      <c r="O56" s="700"/>
    </row>
    <row r="57" spans="1:15" s="660" customFormat="1" ht="12" customHeight="1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702">
        <f t="shared" si="2"/>
        <v>16</v>
      </c>
      <c r="O57" s="700"/>
    </row>
    <row r="58" spans="1:15" s="660" customFormat="1" ht="12" customHeight="1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702">
        <f t="shared" si="2"/>
        <v>16</v>
      </c>
      <c r="O58" s="700"/>
    </row>
    <row r="59" spans="1:15" s="660" customFormat="1" ht="12" customHeight="1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702">
        <f t="shared" si="2"/>
        <v>16</v>
      </c>
      <c r="O59" s="700"/>
    </row>
    <row r="60" spans="1:15" s="660" customFormat="1" ht="12" customHeight="1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702">
        <f t="shared" si="2"/>
        <v>16</v>
      </c>
      <c r="O60" s="700"/>
    </row>
    <row r="61" spans="1:15" s="660" customFormat="1" ht="12" customHeight="1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702">
        <f t="shared" si="2"/>
        <v>16</v>
      </c>
      <c r="O61" s="700"/>
    </row>
    <row r="62" spans="1:15" s="660" customFormat="1" ht="12" customHeight="1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702">
        <f t="shared" si="2"/>
        <v>16</v>
      </c>
      <c r="O62" s="700"/>
    </row>
    <row r="63" spans="1:15" s="660" customFormat="1" ht="12" customHeight="1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702">
        <f t="shared" si="2"/>
        <v>16</v>
      </c>
      <c r="O63" s="700"/>
    </row>
    <row r="64" spans="1:15" s="660" customFormat="1" ht="12" customHeight="1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702">
        <f t="shared" si="2"/>
        <v>16</v>
      </c>
      <c r="O64" s="700"/>
    </row>
    <row r="65" spans="1:15" s="660" customFormat="1" ht="12" customHeight="1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702">
        <f t="shared" si="2"/>
        <v>16</v>
      </c>
      <c r="O65" s="700"/>
    </row>
    <row r="66" spans="1:15" s="660" customFormat="1" ht="12" customHeight="1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702">
        <f t="shared" si="2"/>
        <v>16</v>
      </c>
      <c r="O66" s="700"/>
    </row>
    <row r="67" spans="1:15" s="660" customFormat="1" ht="12" customHeight="1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702">
        <f t="shared" si="2"/>
        <v>16</v>
      </c>
      <c r="O67" s="700"/>
    </row>
    <row r="68" spans="1:15" s="660" customFormat="1" ht="12" customHeight="1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702">
        <f t="shared" si="2"/>
        <v>16</v>
      </c>
      <c r="O68" s="700"/>
    </row>
    <row r="69" spans="1:15" s="660" customFormat="1" ht="12" customHeight="1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702">
        <f t="shared" si="2"/>
        <v>16</v>
      </c>
      <c r="O69" s="700"/>
    </row>
    <row r="70" spans="1:15" s="660" customFormat="1" ht="12" customHeight="1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702">
        <f t="shared" si="2"/>
        <v>16</v>
      </c>
      <c r="O70" s="700"/>
    </row>
    <row r="71" spans="1:15" s="660" customFormat="1" ht="12" customHeight="1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702">
        <f t="shared" si="2"/>
        <v>16</v>
      </c>
      <c r="O71" s="701">
        <f>SUM(G30:G71)</f>
        <v>221.83999999999997</v>
      </c>
    </row>
    <row r="72" spans="1:15" s="386" customFormat="1" ht="12" customHeight="1">
      <c r="A72" s="379" t="s">
        <v>153</v>
      </c>
      <c r="B72" s="380" t="s">
        <v>156</v>
      </c>
      <c r="C72" s="381">
        <f>'Order form'!F178+('Order form'!F232*2)</f>
        <v>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0</v>
      </c>
      <c r="H72" s="383">
        <v>0.1474</v>
      </c>
      <c r="I72" s="384">
        <f t="shared" ref="I72:I92" si="7">C72*H72</f>
        <v>0</v>
      </c>
      <c r="J72" s="384" t="s">
        <v>22</v>
      </c>
      <c r="K72" s="384">
        <f>'Order form'!G179</f>
        <v>225</v>
      </c>
      <c r="L72" s="384">
        <f t="shared" ref="L72:L92" si="8">C72/K72</f>
        <v>0</v>
      </c>
      <c r="M72" s="385">
        <f t="shared" ref="M72:M92" si="9">K72*H72</f>
        <v>33.164999999999999</v>
      </c>
      <c r="N72" s="702">
        <f t="shared" si="2"/>
        <v>16</v>
      </c>
      <c r="O72" s="1258"/>
    </row>
    <row r="73" spans="1:15" s="386" customFormat="1" ht="12" customHeight="1">
      <c r="A73" s="379" t="s">
        <v>153</v>
      </c>
      <c r="B73" s="380" t="s">
        <v>156</v>
      </c>
      <c r="C73" s="381">
        <f>'Order form'!K178+('Order form'!K232*1)+('Order form'!P232*2)+('Order form'!Z232*4)</f>
        <v>0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0</v>
      </c>
      <c r="H73" s="383">
        <v>0.20680000000000001</v>
      </c>
      <c r="I73" s="384">
        <f t="shared" si="7"/>
        <v>0</v>
      </c>
      <c r="J73" s="384" t="s">
        <v>22</v>
      </c>
      <c r="K73" s="384">
        <f>'Order form'!L179</f>
        <v>150</v>
      </c>
      <c r="L73" s="384">
        <f t="shared" si="8"/>
        <v>0</v>
      </c>
      <c r="M73" s="385">
        <f t="shared" si="9"/>
        <v>31.020000000000003</v>
      </c>
      <c r="N73" s="702">
        <f t="shared" si="2"/>
        <v>16</v>
      </c>
      <c r="O73" s="1259"/>
    </row>
    <row r="74" spans="1:15" s="386" customFormat="1" ht="12" customHeight="1">
      <c r="A74" s="379" t="s">
        <v>153</v>
      </c>
      <c r="B74" s="380" t="s">
        <v>156</v>
      </c>
      <c r="C74" s="381">
        <f>'Order form'!P178+('Order form'!K232*1)</f>
        <v>0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0</v>
      </c>
      <c r="H74" s="383">
        <v>0.26400000000000001</v>
      </c>
      <c r="I74" s="384">
        <f t="shared" si="7"/>
        <v>0</v>
      </c>
      <c r="J74" s="384" t="s">
        <v>22</v>
      </c>
      <c r="K74" s="384">
        <f>'Order form'!Q179</f>
        <v>60</v>
      </c>
      <c r="L74" s="384">
        <f t="shared" si="8"/>
        <v>0</v>
      </c>
      <c r="M74" s="385">
        <f t="shared" si="9"/>
        <v>15.84</v>
      </c>
      <c r="N74" s="702">
        <f t="shared" si="2"/>
        <v>16</v>
      </c>
      <c r="O74" s="1259"/>
    </row>
    <row r="75" spans="1:15" s="386" customFormat="1" ht="12" customHeight="1">
      <c r="A75" s="379" t="s">
        <v>153</v>
      </c>
      <c r="B75" s="380" t="s">
        <v>156</v>
      </c>
      <c r="C75" s="381">
        <f>'Order form'!U178+('Order form'!P232*1)+('Order form'!U232*2)</f>
        <v>0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0</v>
      </c>
      <c r="H75" s="383">
        <v>0.23320000000000002</v>
      </c>
      <c r="I75" s="384">
        <f t="shared" si="7"/>
        <v>0</v>
      </c>
      <c r="J75" s="384" t="s">
        <v>22</v>
      </c>
      <c r="K75" s="384">
        <f>'Order form'!V179</f>
        <v>150</v>
      </c>
      <c r="L75" s="384">
        <f t="shared" si="8"/>
        <v>0</v>
      </c>
      <c r="M75" s="385">
        <f t="shared" si="9"/>
        <v>34.980000000000004</v>
      </c>
      <c r="N75" s="702">
        <f t="shared" si="2"/>
        <v>16</v>
      </c>
      <c r="O75" s="1259"/>
    </row>
    <row r="76" spans="1:15" s="386" customFormat="1" ht="12" customHeight="1">
      <c r="A76" s="379" t="s">
        <v>153</v>
      </c>
      <c r="B76" s="380" t="s">
        <v>156</v>
      </c>
      <c r="C76" s="381">
        <f>'Order form'!Z178+('Order form'!F243*2)</f>
        <v>0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0</v>
      </c>
      <c r="H76" s="383">
        <v>9.9000000000000005E-2</v>
      </c>
      <c r="I76" s="384">
        <f t="shared" si="7"/>
        <v>0</v>
      </c>
      <c r="J76" s="384" t="s">
        <v>22</v>
      </c>
      <c r="K76" s="384">
        <f>'Order form'!AA179</f>
        <v>225</v>
      </c>
      <c r="L76" s="384">
        <f t="shared" si="8"/>
        <v>0</v>
      </c>
      <c r="M76" s="385">
        <f t="shared" si="9"/>
        <v>22.275000000000002</v>
      </c>
      <c r="N76" s="702">
        <f t="shared" si="2"/>
        <v>16</v>
      </c>
      <c r="O76" s="1259"/>
    </row>
    <row r="77" spans="1:15" s="386" customFormat="1" ht="12" customHeight="1">
      <c r="A77" s="379" t="s">
        <v>153</v>
      </c>
      <c r="B77" s="380" t="s">
        <v>156</v>
      </c>
      <c r="C77" s="381">
        <f>'Order form'!F188+('Order form'!F243*2)+('Order form'!K243*2)+('Order form'!U254*4)</f>
        <v>0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0</v>
      </c>
      <c r="H77" s="383">
        <v>0.1298</v>
      </c>
      <c r="I77" s="384">
        <f t="shared" si="7"/>
        <v>0</v>
      </c>
      <c r="J77" s="384" t="s">
        <v>22</v>
      </c>
      <c r="K77" s="384">
        <f>'Order form'!G189</f>
        <v>225</v>
      </c>
      <c r="L77" s="384">
        <f t="shared" si="8"/>
        <v>0</v>
      </c>
      <c r="M77" s="385">
        <f t="shared" si="9"/>
        <v>29.204999999999998</v>
      </c>
      <c r="N77" s="702">
        <f t="shared" ref="N77:N141" si="10">IF(C77=0,N76,N76+1)</f>
        <v>16</v>
      </c>
      <c r="O77" s="1259"/>
    </row>
    <row r="78" spans="1:15" s="386" customFormat="1" ht="12" customHeight="1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702">
        <f t="shared" si="10"/>
        <v>16</v>
      </c>
      <c r="O78" s="1259"/>
    </row>
    <row r="79" spans="1:15" s="386" customFormat="1" ht="12" customHeight="1">
      <c r="A79" s="379" t="s">
        <v>153</v>
      </c>
      <c r="B79" s="380" t="s">
        <v>156</v>
      </c>
      <c r="C79" s="381">
        <f>'Order form'!P188+('Order form'!P243*2)</f>
        <v>0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0</v>
      </c>
      <c r="H79" s="383">
        <v>0.10560000000000001</v>
      </c>
      <c r="I79" s="384">
        <f t="shared" si="7"/>
        <v>0</v>
      </c>
      <c r="J79" s="384" t="s">
        <v>22</v>
      </c>
      <c r="K79" s="384">
        <f>'Order form'!Q189</f>
        <v>150</v>
      </c>
      <c r="L79" s="384">
        <f t="shared" si="8"/>
        <v>0</v>
      </c>
      <c r="M79" s="385">
        <f t="shared" si="9"/>
        <v>15.840000000000002</v>
      </c>
      <c r="N79" s="702">
        <f t="shared" si="10"/>
        <v>16</v>
      </c>
      <c r="O79" s="1259"/>
    </row>
    <row r="80" spans="1:15" s="386" customFormat="1" ht="12" customHeight="1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702">
        <f t="shared" si="10"/>
        <v>16</v>
      </c>
      <c r="O80" s="1259"/>
    </row>
    <row r="81" spans="1:15" s="386" customFormat="1" ht="12" customHeight="1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702">
        <f t="shared" si="10"/>
        <v>16</v>
      </c>
      <c r="O81" s="1259"/>
    </row>
    <row r="82" spans="1:15" s="386" customFormat="1" ht="12" customHeight="1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702">
        <f t="shared" si="10"/>
        <v>16</v>
      </c>
      <c r="O82" s="1259"/>
    </row>
    <row r="83" spans="1:15" s="386" customFormat="1" ht="12" customHeight="1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702">
        <f t="shared" si="10"/>
        <v>16</v>
      </c>
      <c r="O83" s="1259"/>
    </row>
    <row r="84" spans="1:15" s="386" customFormat="1" ht="12" customHeight="1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702">
        <f t="shared" si="10"/>
        <v>16</v>
      </c>
      <c r="O84" s="1259"/>
    </row>
    <row r="85" spans="1:15" s="386" customFormat="1" ht="12" customHeight="1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702">
        <f t="shared" si="10"/>
        <v>16</v>
      </c>
      <c r="O85" s="1259"/>
    </row>
    <row r="86" spans="1:15" s="386" customFormat="1" ht="12" customHeight="1">
      <c r="A86" s="379" t="s">
        <v>153</v>
      </c>
      <c r="B86" s="380" t="s">
        <v>156</v>
      </c>
      <c r="C86" s="381">
        <f>'Order form'!Z198+'Order form'!Z254</f>
        <v>0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0</v>
      </c>
      <c r="H86" s="383">
        <v>8.3600000000000008E-2</v>
      </c>
      <c r="I86" s="384">
        <f t="shared" si="7"/>
        <v>0</v>
      </c>
      <c r="J86" s="384" t="s">
        <v>22</v>
      </c>
      <c r="K86" s="384">
        <f>'Order form'!AA199</f>
        <v>300</v>
      </c>
      <c r="L86" s="384">
        <f t="shared" si="8"/>
        <v>0</v>
      </c>
      <c r="M86" s="385">
        <f t="shared" si="9"/>
        <v>25.080000000000002</v>
      </c>
      <c r="N86" s="702">
        <f t="shared" si="10"/>
        <v>16</v>
      </c>
      <c r="O86" s="1259"/>
    </row>
    <row r="87" spans="1:15" s="386" customFormat="1" ht="12" customHeight="1">
      <c r="A87" s="379" t="s">
        <v>153</v>
      </c>
      <c r="B87" s="380" t="s">
        <v>156</v>
      </c>
      <c r="C87" s="381">
        <f>'Order form'!F208+'Order form'!Z254</f>
        <v>0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0</v>
      </c>
      <c r="H87" s="383">
        <v>0.10120000000000001</v>
      </c>
      <c r="I87" s="384">
        <f t="shared" si="7"/>
        <v>0</v>
      </c>
      <c r="J87" s="384" t="s">
        <v>22</v>
      </c>
      <c r="K87" s="384">
        <f>'Order form'!G209</f>
        <v>300</v>
      </c>
      <c r="L87" s="384">
        <f t="shared" si="8"/>
        <v>0</v>
      </c>
      <c r="M87" s="385">
        <f t="shared" si="9"/>
        <v>30.360000000000003</v>
      </c>
      <c r="N87" s="702">
        <f t="shared" si="10"/>
        <v>16</v>
      </c>
      <c r="O87" s="1259"/>
    </row>
    <row r="88" spans="1:15" s="386" customFormat="1" ht="12" customHeight="1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702">
        <f t="shared" si="10"/>
        <v>16</v>
      </c>
      <c r="O88" s="1259"/>
    </row>
    <row r="89" spans="1:15" s="386" customFormat="1" ht="12" customHeight="1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702">
        <f t="shared" si="10"/>
        <v>16</v>
      </c>
      <c r="O89" s="1259"/>
    </row>
    <row r="90" spans="1:15" s="386" customFormat="1" ht="12" customHeight="1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702">
        <f t="shared" si="10"/>
        <v>16</v>
      </c>
      <c r="O90" s="1259"/>
    </row>
    <row r="91" spans="1:15" s="386" customFormat="1" ht="12" customHeight="1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702">
        <f t="shared" si="10"/>
        <v>16</v>
      </c>
      <c r="O91" s="394"/>
    </row>
    <row r="92" spans="1:15" s="386" customFormat="1" ht="12" customHeight="1">
      <c r="A92" s="379" t="s">
        <v>153</v>
      </c>
      <c r="B92" s="380" t="s">
        <v>156</v>
      </c>
      <c r="C92" s="381">
        <f>'Order form'!F218+('Order form'!U265*2)</f>
        <v>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0</v>
      </c>
      <c r="H92" s="383">
        <v>0.224</v>
      </c>
      <c r="I92" s="384">
        <f t="shared" si="7"/>
        <v>0</v>
      </c>
      <c r="J92" s="384" t="s">
        <v>22</v>
      </c>
      <c r="K92" s="384">
        <f>'Order form'!G219</f>
        <v>100</v>
      </c>
      <c r="L92" s="384">
        <f t="shared" si="8"/>
        <v>0</v>
      </c>
      <c r="M92" s="385">
        <f t="shared" si="9"/>
        <v>22.400000000000002</v>
      </c>
      <c r="N92" s="702">
        <f t="shared" si="10"/>
        <v>16</v>
      </c>
      <c r="O92" s="394"/>
    </row>
    <row r="93" spans="1:15" s="651" customFormat="1" ht="12" customHeight="1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702">
        <f t="shared" si="10"/>
        <v>16</v>
      </c>
      <c r="O93" s="394"/>
    </row>
    <row r="94" spans="1:15" s="651" customFormat="1" ht="12" customHeight="1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702">
        <f t="shared" si="10"/>
        <v>16</v>
      </c>
      <c r="O94" s="394"/>
    </row>
    <row r="95" spans="1:15" s="651" customFormat="1" ht="12" customHeight="1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702">
        <f t="shared" si="10"/>
        <v>16</v>
      </c>
      <c r="O95" s="394"/>
    </row>
    <row r="96" spans="1:15" s="651" customFormat="1" ht="12" customHeight="1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702">
        <f t="shared" si="10"/>
        <v>16</v>
      </c>
      <c r="O96" s="394"/>
    </row>
    <row r="97" spans="1:15" s="651" customFormat="1" ht="12" customHeight="1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702">
        <f t="shared" si="10"/>
        <v>16</v>
      </c>
      <c r="O97" s="394"/>
    </row>
    <row r="98" spans="1:15" s="651" customFormat="1" ht="12" customHeight="1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702">
        <f t="shared" si="10"/>
        <v>16</v>
      </c>
      <c r="O98" s="394"/>
    </row>
    <row r="99" spans="1:15" s="651" customFormat="1" ht="12" customHeight="1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702">
        <f t="shared" si="10"/>
        <v>16</v>
      </c>
      <c r="O99" s="394"/>
    </row>
    <row r="100" spans="1:15" s="651" customFormat="1" ht="12" customHeight="1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702">
        <f t="shared" si="10"/>
        <v>16</v>
      </c>
      <c r="O100" s="394"/>
    </row>
    <row r="101" spans="1:15" s="651" customFormat="1" ht="12" customHeight="1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702">
        <f t="shared" si="10"/>
        <v>16</v>
      </c>
      <c r="O101" s="394"/>
    </row>
    <row r="102" spans="1:15" s="651" customFormat="1" ht="12" customHeight="1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702">
        <f t="shared" si="10"/>
        <v>16</v>
      </c>
      <c r="O102" s="394"/>
    </row>
    <row r="103" spans="1:15" s="651" customFormat="1" ht="12" customHeight="1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702">
        <f t="shared" si="10"/>
        <v>16</v>
      </c>
      <c r="O103" s="394"/>
    </row>
    <row r="104" spans="1:15" s="651" customFormat="1" ht="12" customHeight="1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702">
        <f t="shared" si="10"/>
        <v>16</v>
      </c>
      <c r="O104" s="394"/>
    </row>
    <row r="105" spans="1:15" s="651" customFormat="1" ht="12" customHeight="1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702">
        <f t="shared" si="10"/>
        <v>16</v>
      </c>
      <c r="O105" s="394"/>
    </row>
    <row r="106" spans="1:15" s="651" customFormat="1" ht="12" customHeight="1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702">
        <f t="shared" si="10"/>
        <v>16</v>
      </c>
      <c r="O106" s="394"/>
    </row>
    <row r="107" spans="1:15" s="651" customFormat="1" ht="12" customHeight="1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702">
        <f t="shared" si="10"/>
        <v>16</v>
      </c>
      <c r="O107" s="394"/>
    </row>
    <row r="108" spans="1:15" s="651" customFormat="1" ht="12" customHeight="1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702">
        <f t="shared" si="10"/>
        <v>16</v>
      </c>
      <c r="O108" s="394"/>
    </row>
    <row r="109" spans="1:15" s="651" customFormat="1" ht="12" customHeight="1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702">
        <f t="shared" si="10"/>
        <v>16</v>
      </c>
      <c r="O109" s="394"/>
    </row>
    <row r="110" spans="1:15" s="651" customFormat="1" ht="12" customHeight="1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702">
        <f t="shared" si="10"/>
        <v>16</v>
      </c>
      <c r="O110" s="394"/>
    </row>
    <row r="111" spans="1:15" s="651" customFormat="1" ht="12" customHeight="1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702">
        <f t="shared" si="10"/>
        <v>16</v>
      </c>
      <c r="O111" s="394">
        <f>SUM(G72:G111)</f>
        <v>0</v>
      </c>
    </row>
    <row r="112" spans="1:15" s="386" customFormat="1" ht="12.6" customHeight="1">
      <c r="A112" s="726" t="s">
        <v>153</v>
      </c>
      <c r="B112" s="727" t="s">
        <v>420</v>
      </c>
      <c r="C112" s="719">
        <f>'Order form'!F277</f>
        <v>34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3.74</v>
      </c>
      <c r="H112" s="720">
        <v>6.6E-3</v>
      </c>
      <c r="I112" s="721">
        <f t="shared" si="5"/>
        <v>0.22439999999999999</v>
      </c>
      <c r="J112" s="721" t="s">
        <v>22</v>
      </c>
      <c r="K112" s="721">
        <f>'Order form'!G278</f>
        <v>400</v>
      </c>
      <c r="L112" s="721">
        <f t="shared" ref="L112:L145" si="12">C112/K112</f>
        <v>8.5000000000000006E-2</v>
      </c>
      <c r="M112" s="722">
        <f t="shared" ref="M112:M145" si="13">K112*H112</f>
        <v>2.64</v>
      </c>
      <c r="N112" s="702">
        <f t="shared" si="10"/>
        <v>17</v>
      </c>
      <c r="O112" s="724"/>
    </row>
    <row r="113" spans="1:15" s="386" customFormat="1" ht="12.6" customHeight="1">
      <c r="A113" s="726" t="s">
        <v>153</v>
      </c>
      <c r="B113" s="727" t="s">
        <v>420</v>
      </c>
      <c r="C113" s="719">
        <f>'Order form'!K277</f>
        <v>0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0</v>
      </c>
      <c r="H113" s="720">
        <v>7.0000000000000001E-3</v>
      </c>
      <c r="I113" s="721">
        <f t="shared" si="5"/>
        <v>0</v>
      </c>
      <c r="J113" s="721" t="s">
        <v>22</v>
      </c>
      <c r="K113" s="721">
        <f>'Order form'!L278</f>
        <v>100</v>
      </c>
      <c r="L113" s="721">
        <f t="shared" si="12"/>
        <v>0</v>
      </c>
      <c r="M113" s="722">
        <f t="shared" si="13"/>
        <v>0.70000000000000007</v>
      </c>
      <c r="N113" s="702">
        <f t="shared" si="10"/>
        <v>17</v>
      </c>
      <c r="O113" s="725"/>
    </row>
    <row r="114" spans="1:15" s="386" customFormat="1" ht="12.6" customHeight="1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702">
        <f t="shared" si="10"/>
        <v>17</v>
      </c>
      <c r="O114" s="725"/>
    </row>
    <row r="115" spans="1:15" s="386" customFormat="1" ht="12.6" customHeight="1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8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2</v>
      </c>
      <c r="H115" s="720">
        <v>0.1144</v>
      </c>
      <c r="I115" s="721">
        <f t="shared" si="5"/>
        <v>0.91520000000000001</v>
      </c>
      <c r="J115" s="721" t="s">
        <v>22</v>
      </c>
      <c r="K115" s="721">
        <f>'Order form'!Q278</f>
        <v>100</v>
      </c>
      <c r="L115" s="721">
        <f t="shared" si="12"/>
        <v>0.08</v>
      </c>
      <c r="M115" s="722">
        <f t="shared" si="13"/>
        <v>11.44</v>
      </c>
      <c r="N115" s="702">
        <f t="shared" si="10"/>
        <v>18</v>
      </c>
      <c r="O115" s="725"/>
    </row>
    <row r="116" spans="1:15" s="386" customFormat="1" ht="12.6" customHeight="1">
      <c r="A116" s="726" t="s">
        <v>153</v>
      </c>
      <c r="B116" s="727" t="s">
        <v>158</v>
      </c>
      <c r="C116" s="719">
        <f>'Order form'!F288</f>
        <v>4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9</v>
      </c>
      <c r="H116" s="720">
        <v>0.32119999999999999</v>
      </c>
      <c r="I116" s="721">
        <f t="shared" si="5"/>
        <v>1.2847999999999999</v>
      </c>
      <c r="J116" s="721" t="s">
        <v>22</v>
      </c>
      <c r="K116" s="721">
        <f>'Order form'!G289</f>
        <v>100</v>
      </c>
      <c r="L116" s="721">
        <f t="shared" si="12"/>
        <v>0.04</v>
      </c>
      <c r="M116" s="722">
        <f t="shared" si="13"/>
        <v>32.119999999999997</v>
      </c>
      <c r="N116" s="702">
        <f t="shared" si="10"/>
        <v>19</v>
      </c>
      <c r="O116" s="725"/>
    </row>
    <row r="117" spans="1:15" s="386" customFormat="1" ht="12.6" customHeight="1">
      <c r="A117" s="726" t="s">
        <v>153</v>
      </c>
      <c r="B117" s="727" t="s">
        <v>158</v>
      </c>
      <c r="C117" s="719">
        <f>'Order form'!K288</f>
        <v>4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9</v>
      </c>
      <c r="H117" s="720">
        <v>0.28599999999999998</v>
      </c>
      <c r="I117" s="721">
        <f t="shared" si="5"/>
        <v>1.1439999999999999</v>
      </c>
      <c r="J117" s="721" t="s">
        <v>22</v>
      </c>
      <c r="K117" s="721">
        <f>'Order form'!L289</f>
        <v>100</v>
      </c>
      <c r="L117" s="721">
        <f t="shared" si="12"/>
        <v>0.04</v>
      </c>
      <c r="M117" s="722">
        <f t="shared" si="13"/>
        <v>28.599999999999998</v>
      </c>
      <c r="N117" s="702">
        <f t="shared" si="10"/>
        <v>20</v>
      </c>
      <c r="O117" s="725"/>
    </row>
    <row r="118" spans="1:15" s="386" customFormat="1" ht="12.6" customHeight="1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702">
        <f t="shared" si="10"/>
        <v>20</v>
      </c>
      <c r="O118" s="725"/>
    </row>
    <row r="119" spans="1:15" s="386" customFormat="1" ht="12.6" customHeight="1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702">
        <f t="shared" si="10"/>
        <v>20</v>
      </c>
      <c r="O119" s="725"/>
    </row>
    <row r="120" spans="1:15" s="386" customFormat="1" ht="12.6" customHeight="1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702">
        <f t="shared" si="10"/>
        <v>20</v>
      </c>
      <c r="O120" s="725"/>
    </row>
    <row r="121" spans="1:15" s="386" customFormat="1" ht="12.6" customHeight="1">
      <c r="A121" s="726" t="s">
        <v>153</v>
      </c>
      <c r="B121" s="727" t="s">
        <v>420</v>
      </c>
      <c r="C121" s="719">
        <f>'Order form'!F299</f>
        <v>54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8.1</v>
      </c>
      <c r="H121" s="720">
        <v>1.0999999999999999E-2</v>
      </c>
      <c r="I121" s="721">
        <f t="shared" ref="I121:I131" si="15">C121*H121</f>
        <v>0.59399999999999997</v>
      </c>
      <c r="J121" s="721" t="s">
        <v>22</v>
      </c>
      <c r="K121" s="721">
        <f>'Order form'!G300</f>
        <v>300</v>
      </c>
      <c r="L121" s="721">
        <f t="shared" si="12"/>
        <v>0.18</v>
      </c>
      <c r="M121" s="722">
        <f t="shared" si="13"/>
        <v>3.3</v>
      </c>
      <c r="N121" s="702">
        <f t="shared" si="10"/>
        <v>21</v>
      </c>
      <c r="O121" s="725"/>
    </row>
    <row r="122" spans="1:15" s="386" customFormat="1" ht="12.6" customHeight="1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702">
        <f t="shared" si="10"/>
        <v>21</v>
      </c>
      <c r="O122" s="725"/>
    </row>
    <row r="123" spans="1:15" s="386" customFormat="1" ht="12.6" customHeight="1">
      <c r="A123" s="726" t="s">
        <v>153</v>
      </c>
      <c r="B123" s="727" t="s">
        <v>158</v>
      </c>
      <c r="C123" s="719">
        <f>'Order form'!P299</f>
        <v>30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5.3999999999999995</v>
      </c>
      <c r="H123" s="720">
        <v>4.3999999999999997E-2</v>
      </c>
      <c r="I123" s="721">
        <f t="shared" si="15"/>
        <v>1.3199999999999998</v>
      </c>
      <c r="J123" s="721" t="s">
        <v>22</v>
      </c>
      <c r="K123" s="721">
        <f>'Order form'!Q300</f>
        <v>230</v>
      </c>
      <c r="L123" s="721">
        <f t="shared" si="12"/>
        <v>0.13043478260869565</v>
      </c>
      <c r="M123" s="722">
        <f t="shared" si="13"/>
        <v>10.119999999999999</v>
      </c>
      <c r="N123" s="702">
        <f t="shared" si="10"/>
        <v>22</v>
      </c>
      <c r="O123" s="725"/>
    </row>
    <row r="124" spans="1:15" s="386" customFormat="1" ht="12.6" customHeight="1">
      <c r="A124" s="726" t="s">
        <v>153</v>
      </c>
      <c r="B124" s="727" t="s">
        <v>158</v>
      </c>
      <c r="C124" s="719">
        <f>'Order form'!U299</f>
        <v>10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1.7999999999999998</v>
      </c>
      <c r="H124" s="720">
        <v>5.7000000000000002E-2</v>
      </c>
      <c r="I124" s="721">
        <f t="shared" si="15"/>
        <v>0.57000000000000006</v>
      </c>
      <c r="J124" s="721" t="s">
        <v>22</v>
      </c>
      <c r="K124" s="721">
        <f>'Order form'!V300</f>
        <v>200</v>
      </c>
      <c r="L124" s="721">
        <f t="shared" si="12"/>
        <v>0.05</v>
      </c>
      <c r="M124" s="722">
        <f t="shared" si="13"/>
        <v>11.4</v>
      </c>
      <c r="N124" s="702">
        <f t="shared" si="10"/>
        <v>23</v>
      </c>
      <c r="O124" s="725"/>
    </row>
    <row r="125" spans="1:15" s="386" customFormat="1" ht="12.6" customHeight="1">
      <c r="A125" s="726" t="s">
        <v>153</v>
      </c>
      <c r="B125" s="727" t="s">
        <v>158</v>
      </c>
      <c r="C125" s="719">
        <f>'Order form'!F310</f>
        <v>0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0</v>
      </c>
      <c r="H125" s="720">
        <v>0.15840000000000001</v>
      </c>
      <c r="I125" s="721">
        <f t="shared" si="15"/>
        <v>0</v>
      </c>
      <c r="J125" s="721" t="s">
        <v>22</v>
      </c>
      <c r="K125" s="721">
        <f>'Order form'!G311</f>
        <v>60</v>
      </c>
      <c r="L125" s="721">
        <f t="shared" si="12"/>
        <v>0</v>
      </c>
      <c r="M125" s="722">
        <f t="shared" si="13"/>
        <v>9.5040000000000013</v>
      </c>
      <c r="N125" s="702">
        <f t="shared" si="10"/>
        <v>23</v>
      </c>
      <c r="O125" s="725"/>
    </row>
    <row r="126" spans="1:15" s="386" customFormat="1" ht="12.6" customHeight="1">
      <c r="A126" s="726" t="s">
        <v>153</v>
      </c>
      <c r="B126" s="727" t="s">
        <v>158</v>
      </c>
      <c r="C126" s="719">
        <f>'Order form'!K310</f>
        <v>0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0</v>
      </c>
      <c r="H126" s="720">
        <v>0.154</v>
      </c>
      <c r="I126" s="721">
        <f t="shared" si="15"/>
        <v>0</v>
      </c>
      <c r="J126" s="721" t="s">
        <v>22</v>
      </c>
      <c r="K126" s="721">
        <f>'Order form'!L311</f>
        <v>100</v>
      </c>
      <c r="L126" s="721">
        <f t="shared" si="12"/>
        <v>0</v>
      </c>
      <c r="M126" s="722">
        <f t="shared" si="13"/>
        <v>15.4</v>
      </c>
      <c r="N126" s="702">
        <f t="shared" si="10"/>
        <v>23</v>
      </c>
      <c r="O126" s="725"/>
    </row>
    <row r="127" spans="1:15" s="386" customFormat="1" ht="12.6" customHeight="1">
      <c r="A127" s="726" t="s">
        <v>153</v>
      </c>
      <c r="B127" s="727" t="s">
        <v>158</v>
      </c>
      <c r="C127" s="719">
        <f>'Order form'!P310</f>
        <v>0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0</v>
      </c>
      <c r="H127" s="720">
        <v>0.29039999999999999</v>
      </c>
      <c r="I127" s="721">
        <f t="shared" si="15"/>
        <v>0</v>
      </c>
      <c r="J127" s="721" t="s">
        <v>22</v>
      </c>
      <c r="K127" s="721">
        <f>'Order form'!Q311</f>
        <v>60</v>
      </c>
      <c r="L127" s="721">
        <f t="shared" si="12"/>
        <v>0</v>
      </c>
      <c r="M127" s="722">
        <f t="shared" si="13"/>
        <v>17.423999999999999</v>
      </c>
      <c r="N127" s="702">
        <f t="shared" si="10"/>
        <v>23</v>
      </c>
      <c r="O127" s="725"/>
    </row>
    <row r="128" spans="1:15" s="386" customFormat="1" ht="12.6" customHeight="1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702">
        <f t="shared" si="10"/>
        <v>23</v>
      </c>
      <c r="O128" s="725"/>
    </row>
    <row r="129" spans="1:15" s="386" customFormat="1" ht="12.6" customHeight="1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702">
        <f t="shared" si="10"/>
        <v>23</v>
      </c>
      <c r="O129" s="725"/>
    </row>
    <row r="130" spans="1:15" s="386" customFormat="1" ht="12.6" customHeight="1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702">
        <f t="shared" si="10"/>
        <v>23</v>
      </c>
      <c r="O130" s="725"/>
    </row>
    <row r="131" spans="1:15" s="386" customFormat="1" ht="12.6" customHeight="1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702">
        <f t="shared" si="10"/>
        <v>23</v>
      </c>
      <c r="O131" s="725"/>
    </row>
    <row r="132" spans="1:15" s="386" customFormat="1" ht="12.6" customHeight="1">
      <c r="A132" s="726" t="s">
        <v>153</v>
      </c>
      <c r="B132" s="727" t="s">
        <v>158</v>
      </c>
      <c r="C132" s="719">
        <f>'Order form'!P321</f>
        <v>1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2.25</v>
      </c>
      <c r="H132" s="720">
        <v>0.1386</v>
      </c>
      <c r="I132" s="721">
        <f t="shared" si="5"/>
        <v>0.1386</v>
      </c>
      <c r="J132" s="721" t="s">
        <v>22</v>
      </c>
      <c r="K132" s="721">
        <f>'Order form'!Q322</f>
        <v>105</v>
      </c>
      <c r="L132" s="721">
        <f t="shared" si="12"/>
        <v>9.5238095238095247E-3</v>
      </c>
      <c r="M132" s="722">
        <f t="shared" si="13"/>
        <v>14.553000000000001</v>
      </c>
      <c r="N132" s="702">
        <f t="shared" si="10"/>
        <v>24</v>
      </c>
      <c r="O132" s="725"/>
    </row>
    <row r="133" spans="1:15" s="386" customFormat="1" ht="12.6" customHeight="1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702">
        <f t="shared" si="10"/>
        <v>24</v>
      </c>
      <c r="O133" s="725"/>
    </row>
    <row r="134" spans="1:15" s="386" customFormat="1" ht="12.6" customHeight="1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702">
        <f t="shared" si="10"/>
        <v>24</v>
      </c>
      <c r="O134" s="725"/>
    </row>
    <row r="135" spans="1:15" s="386" customFormat="1" ht="12.6" customHeight="1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702">
        <f t="shared" si="10"/>
        <v>24</v>
      </c>
      <c r="O135" s="725"/>
    </row>
    <row r="136" spans="1:15" s="386" customFormat="1" ht="12.6" customHeight="1">
      <c r="A136" s="726" t="s">
        <v>153</v>
      </c>
      <c r="B136" s="727" t="s">
        <v>420</v>
      </c>
      <c r="C136" s="719">
        <f>'Order form'!P332</f>
        <v>0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0</v>
      </c>
      <c r="H136" s="720">
        <v>6.1600000000000002E-2</v>
      </c>
      <c r="I136" s="721">
        <f t="shared" si="5"/>
        <v>0</v>
      </c>
      <c r="J136" s="721" t="s">
        <v>22</v>
      </c>
      <c r="K136" s="721">
        <f>'Order form'!Q333</f>
        <v>45</v>
      </c>
      <c r="L136" s="721">
        <f t="shared" si="12"/>
        <v>0</v>
      </c>
      <c r="M136" s="722">
        <f t="shared" si="13"/>
        <v>2.7720000000000002</v>
      </c>
      <c r="N136" s="702">
        <f t="shared" si="10"/>
        <v>24</v>
      </c>
      <c r="O136" s="725"/>
    </row>
    <row r="137" spans="1:15" s="386" customFormat="1" ht="12.6" customHeight="1">
      <c r="A137" s="726" t="s">
        <v>153</v>
      </c>
      <c r="B137" s="727" t="s">
        <v>420</v>
      </c>
      <c r="C137" s="719">
        <f>'Order form'!U332</f>
        <v>0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0</v>
      </c>
      <c r="H137" s="720">
        <v>8.6019999999999999E-2</v>
      </c>
      <c r="I137" s="721">
        <f t="shared" ref="I137:I138" si="17">C137*H137</f>
        <v>0</v>
      </c>
      <c r="J137" s="721" t="s">
        <v>22</v>
      </c>
      <c r="K137" s="721">
        <f>'Order form'!V333</f>
        <v>90</v>
      </c>
      <c r="L137" s="721">
        <f t="shared" si="12"/>
        <v>0</v>
      </c>
      <c r="M137" s="722">
        <f t="shared" si="13"/>
        <v>7.7417999999999996</v>
      </c>
      <c r="N137" s="702">
        <f t="shared" si="10"/>
        <v>24</v>
      </c>
      <c r="O137" s="725"/>
    </row>
    <row r="138" spans="1:15" s="386" customFormat="1" ht="12.6" customHeight="1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702">
        <f t="shared" si="10"/>
        <v>24</v>
      </c>
      <c r="O138" s="725"/>
    </row>
    <row r="139" spans="1:15" s="386" customFormat="1" ht="12.6" customHeight="1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702">
        <f t="shared" si="10"/>
        <v>24</v>
      </c>
      <c r="O139" s="725"/>
    </row>
    <row r="140" spans="1:15" s="386" customFormat="1" ht="12.6" customHeight="1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702">
        <f t="shared" si="10"/>
        <v>24</v>
      </c>
      <c r="O140" s="725"/>
    </row>
    <row r="141" spans="1:15" s="386" customFormat="1" ht="12.6" customHeight="1">
      <c r="A141" s="726" t="s">
        <v>153</v>
      </c>
      <c r="B141" s="727" t="s">
        <v>158</v>
      </c>
      <c r="C141" s="719">
        <f>'Order form'!P343</f>
        <v>1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7</v>
      </c>
      <c r="H141" s="720">
        <v>0.374</v>
      </c>
      <c r="I141" s="721">
        <f t="shared" si="18"/>
        <v>0.374</v>
      </c>
      <c r="J141" s="721" t="s">
        <v>22</v>
      </c>
      <c r="K141" s="723">
        <f>'Order form'!Q344</f>
        <v>20</v>
      </c>
      <c r="L141" s="721">
        <f t="shared" si="12"/>
        <v>0.05</v>
      </c>
      <c r="M141" s="722">
        <f t="shared" si="13"/>
        <v>7.48</v>
      </c>
      <c r="N141" s="702">
        <f t="shared" si="10"/>
        <v>25</v>
      </c>
      <c r="O141" s="725"/>
    </row>
    <row r="142" spans="1:15" s="386" customFormat="1" ht="12.6" customHeight="1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647">
        <f t="shared" ref="N142:N213" si="19">IF(C142=0,N141,N141+1)</f>
        <v>25</v>
      </c>
      <c r="O142" s="725"/>
    </row>
    <row r="143" spans="1:15" s="386" customFormat="1" ht="12.6" customHeight="1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647">
        <f t="shared" si="19"/>
        <v>25</v>
      </c>
      <c r="O143" s="725"/>
    </row>
    <row r="144" spans="1:15" s="386" customFormat="1">
      <c r="A144" s="648" t="s">
        <v>502</v>
      </c>
      <c r="B144" s="649" t="s">
        <v>158</v>
      </c>
      <c r="C144" s="647">
        <f>'Order form'!F354</f>
        <v>1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18</v>
      </c>
      <c r="H144" s="218">
        <v>2.34</v>
      </c>
      <c r="I144" s="219">
        <f t="shared" si="18"/>
        <v>2.34</v>
      </c>
      <c r="J144" s="219" t="s">
        <v>466</v>
      </c>
      <c r="K144" s="219">
        <f>'Order form'!G355</f>
        <v>10</v>
      </c>
      <c r="L144" s="219">
        <f t="shared" si="12"/>
        <v>0.1</v>
      </c>
      <c r="M144" s="650">
        <f t="shared" si="13"/>
        <v>23.4</v>
      </c>
      <c r="N144" s="647">
        <f t="shared" si="19"/>
        <v>26</v>
      </c>
      <c r="O144" s="725"/>
    </row>
    <row r="145" spans="1:15" s="386" customFormat="1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647">
        <f t="shared" si="19"/>
        <v>26</v>
      </c>
      <c r="O145" s="725"/>
    </row>
    <row r="146" spans="1:15" s="386" customFormat="1">
      <c r="A146" s="648" t="s">
        <v>502</v>
      </c>
      <c r="B146" s="649" t="s">
        <v>158</v>
      </c>
      <c r="C146" s="647">
        <f>'Order form'!P354</f>
        <v>0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0</v>
      </c>
      <c r="H146" s="218">
        <v>4.12</v>
      </c>
      <c r="I146" s="219">
        <f t="shared" si="18"/>
        <v>0</v>
      </c>
      <c r="J146" s="219" t="s">
        <v>466</v>
      </c>
      <c r="K146" s="219">
        <f>'Order form'!Q355</f>
        <v>10</v>
      </c>
      <c r="L146" s="219">
        <f t="shared" ref="L146:L179" si="20">C146/K146</f>
        <v>0</v>
      </c>
      <c r="M146" s="650">
        <f t="shared" ref="M146:M178" si="21">K146*H146</f>
        <v>41.2</v>
      </c>
      <c r="N146" s="647">
        <f t="shared" si="19"/>
        <v>26</v>
      </c>
      <c r="O146" s="725"/>
    </row>
    <row r="147" spans="1:15" s="386" customFormat="1">
      <c r="A147" s="648" t="s">
        <v>153</v>
      </c>
      <c r="B147" s="649" t="s">
        <v>158</v>
      </c>
      <c r="C147" s="647">
        <f>'Order form'!U354</f>
        <v>6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3</v>
      </c>
      <c r="H147" s="218">
        <v>8.14E-2</v>
      </c>
      <c r="I147" s="219">
        <f t="shared" si="18"/>
        <v>0.4884</v>
      </c>
      <c r="J147" s="219" t="s">
        <v>22</v>
      </c>
      <c r="K147" s="219">
        <f>'Order form'!V355</f>
        <v>400</v>
      </c>
      <c r="L147" s="219">
        <f t="shared" si="20"/>
        <v>1.4999999999999999E-2</v>
      </c>
      <c r="M147" s="650">
        <f t="shared" si="21"/>
        <v>32.56</v>
      </c>
      <c r="N147" s="647">
        <f t="shared" si="19"/>
        <v>27</v>
      </c>
      <c r="O147" s="725"/>
    </row>
    <row r="148" spans="1:15" s="386" customFormat="1">
      <c r="A148" s="648" t="s">
        <v>153</v>
      </c>
      <c r="B148" s="649" t="s">
        <v>158</v>
      </c>
      <c r="C148" s="647">
        <f>'Order form'!Z354</f>
        <v>2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14</v>
      </c>
      <c r="H148" s="218">
        <v>0.22900000000000001</v>
      </c>
      <c r="I148" s="219">
        <f t="shared" si="18"/>
        <v>0.45800000000000002</v>
      </c>
      <c r="J148" s="219" t="s">
        <v>22</v>
      </c>
      <c r="K148" s="219">
        <f>'Order form'!AA355</f>
        <v>35</v>
      </c>
      <c r="L148" s="219">
        <f t="shared" si="20"/>
        <v>5.7142857142857141E-2</v>
      </c>
      <c r="M148" s="650">
        <f t="shared" si="21"/>
        <v>8.0150000000000006</v>
      </c>
      <c r="N148" s="647">
        <f t="shared" si="19"/>
        <v>28</v>
      </c>
      <c r="O148" s="725"/>
    </row>
    <row r="149" spans="1:15" s="386" customFormat="1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647">
        <f t="shared" si="19"/>
        <v>28</v>
      </c>
      <c r="O149" s="725"/>
    </row>
    <row r="150" spans="1:15" s="386" customFormat="1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647">
        <f t="shared" si="19"/>
        <v>28</v>
      </c>
      <c r="O150" s="725"/>
    </row>
    <row r="151" spans="1:15" s="386" customFormat="1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647">
        <f t="shared" si="19"/>
        <v>28</v>
      </c>
      <c r="O151" s="725"/>
    </row>
    <row r="152" spans="1:15" s="386" customFormat="1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647">
        <f t="shared" si="19"/>
        <v>28</v>
      </c>
      <c r="O152" s="725">
        <f>SUM(G112:G152)</f>
        <v>83.289999999999992</v>
      </c>
    </row>
    <row r="153" spans="1:15" s="651" customFormat="1" ht="12.6" customHeight="1">
      <c r="A153" s="379" t="s">
        <v>154</v>
      </c>
      <c r="B153" s="380" t="s">
        <v>159</v>
      </c>
      <c r="C153" s="381">
        <f>'Order form'!F377</f>
        <v>2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340</v>
      </c>
      <c r="H153" s="383">
        <v>80</v>
      </c>
      <c r="I153" s="384">
        <f t="shared" si="18"/>
        <v>160</v>
      </c>
      <c r="J153" s="384" t="s">
        <v>2</v>
      </c>
      <c r="K153" s="384">
        <v>1</v>
      </c>
      <c r="L153" s="384">
        <f t="shared" si="20"/>
        <v>2</v>
      </c>
      <c r="M153" s="385">
        <f t="shared" si="21"/>
        <v>80</v>
      </c>
      <c r="N153" s="381">
        <f t="shared" si="19"/>
        <v>29</v>
      </c>
      <c r="O153" s="741"/>
    </row>
    <row r="154" spans="1:15" s="651" customFormat="1" ht="12.6" customHeight="1">
      <c r="A154" s="379" t="s">
        <v>154</v>
      </c>
      <c r="B154" s="380" t="s">
        <v>159</v>
      </c>
      <c r="C154" s="381">
        <f>'Order form'!K377</f>
        <v>2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200</v>
      </c>
      <c r="H154" s="383">
        <v>40</v>
      </c>
      <c r="I154" s="384">
        <f t="shared" si="18"/>
        <v>80</v>
      </c>
      <c r="J154" s="384" t="s">
        <v>2</v>
      </c>
      <c r="K154" s="384">
        <v>1</v>
      </c>
      <c r="L154" s="384">
        <f t="shared" si="20"/>
        <v>2</v>
      </c>
      <c r="M154" s="385">
        <f t="shared" si="21"/>
        <v>40</v>
      </c>
      <c r="N154" s="381">
        <f t="shared" si="19"/>
        <v>30</v>
      </c>
      <c r="O154" s="741"/>
    </row>
    <row r="155" spans="1:15" s="651" customFormat="1" ht="12.6" customHeight="1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30</v>
      </c>
      <c r="O155" s="741"/>
    </row>
    <row r="156" spans="1:15" s="651" customFormat="1" ht="12.6" customHeight="1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30</v>
      </c>
      <c r="O156" s="741">
        <f>SUM(G153:G156)</f>
        <v>540</v>
      </c>
    </row>
    <row r="157" spans="1:15" s="386" customFormat="1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158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11.06</v>
      </c>
      <c r="H157" s="218">
        <v>1.54E-2</v>
      </c>
      <c r="I157" s="219">
        <f t="shared" si="18"/>
        <v>2.4332000000000003</v>
      </c>
      <c r="J157" s="219" t="s">
        <v>22</v>
      </c>
      <c r="K157" s="742">
        <f>'Order form'!G390</f>
        <v>200</v>
      </c>
      <c r="L157" s="219">
        <f t="shared" si="20"/>
        <v>0.79</v>
      </c>
      <c r="M157" s="650">
        <f t="shared" si="21"/>
        <v>3.08</v>
      </c>
      <c r="N157" s="647">
        <f t="shared" si="19"/>
        <v>31</v>
      </c>
      <c r="O157" s="743"/>
    </row>
    <row r="158" spans="1:15" s="386" customFormat="1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160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9.6</v>
      </c>
      <c r="H158" s="218">
        <v>4.4000000000000003E-3</v>
      </c>
      <c r="I158" s="219">
        <f t="shared" si="18"/>
        <v>0.70400000000000007</v>
      </c>
      <c r="J158" s="219" t="s">
        <v>22</v>
      </c>
      <c r="K158" s="742">
        <f>'Order form'!L390</f>
        <v>200</v>
      </c>
      <c r="L158" s="219">
        <f t="shared" si="20"/>
        <v>0.8</v>
      </c>
      <c r="M158" s="650">
        <f t="shared" si="21"/>
        <v>0.88</v>
      </c>
      <c r="N158" s="647">
        <f t="shared" si="19"/>
        <v>32</v>
      </c>
      <c r="O158" s="744"/>
    </row>
    <row r="159" spans="1:15" s="386" customFormat="1">
      <c r="A159" s="648" t="s">
        <v>153</v>
      </c>
      <c r="B159" s="649" t="s">
        <v>563</v>
      </c>
      <c r="C159" s="647">
        <f>'Order form'!P389+('Order form'!Z156*1)</f>
        <v>2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0.14000000000000001</v>
      </c>
      <c r="H159" s="218">
        <v>1.0999999999999999E-2</v>
      </c>
      <c r="I159" s="219">
        <f t="shared" si="18"/>
        <v>2.1999999999999999E-2</v>
      </c>
      <c r="J159" s="219" t="s">
        <v>22</v>
      </c>
      <c r="K159" s="742">
        <f>'Order form'!Q390</f>
        <v>200</v>
      </c>
      <c r="L159" s="219">
        <f t="shared" si="20"/>
        <v>0.01</v>
      </c>
      <c r="M159" s="650">
        <f t="shared" si="21"/>
        <v>2.1999999999999997</v>
      </c>
      <c r="N159" s="647">
        <f t="shared" si="19"/>
        <v>33</v>
      </c>
      <c r="O159" s="744"/>
    </row>
    <row r="160" spans="1:15" s="386" customFormat="1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647">
        <f t="shared" si="19"/>
        <v>33</v>
      </c>
      <c r="O160" s="744"/>
    </row>
    <row r="161" spans="1:15" s="386" customFormat="1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647">
        <f t="shared" si="19"/>
        <v>33</v>
      </c>
      <c r="O161" s="744"/>
    </row>
    <row r="162" spans="1:15" s="386" customFormat="1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0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0</v>
      </c>
      <c r="H162" s="218">
        <v>1.54E-2</v>
      </c>
      <c r="I162" s="219">
        <f t="shared" si="18"/>
        <v>0</v>
      </c>
      <c r="J162" s="219" t="s">
        <v>22</v>
      </c>
      <c r="K162" s="742">
        <f>'Order form'!G401</f>
        <v>200</v>
      </c>
      <c r="L162" s="219">
        <f t="shared" si="20"/>
        <v>0</v>
      </c>
      <c r="M162" s="650">
        <f t="shared" si="21"/>
        <v>3.08</v>
      </c>
      <c r="N162" s="647">
        <f t="shared" si="19"/>
        <v>33</v>
      </c>
      <c r="O162" s="744"/>
    </row>
    <row r="163" spans="1:15" s="386" customFormat="1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0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0</v>
      </c>
      <c r="H163" s="218">
        <v>4.4000000000000003E-3</v>
      </c>
      <c r="I163" s="219">
        <f t="shared" si="18"/>
        <v>0</v>
      </c>
      <c r="J163" s="219" t="s">
        <v>22</v>
      </c>
      <c r="K163" s="742">
        <f>'Order form'!L401</f>
        <v>200</v>
      </c>
      <c r="L163" s="219">
        <f t="shared" si="20"/>
        <v>0</v>
      </c>
      <c r="M163" s="650">
        <f t="shared" si="21"/>
        <v>0.88</v>
      </c>
      <c r="N163" s="647">
        <f t="shared" si="19"/>
        <v>33</v>
      </c>
      <c r="O163" s="744"/>
    </row>
    <row r="164" spans="1:15" s="386" customFormat="1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647">
        <f t="shared" si="19"/>
        <v>33</v>
      </c>
      <c r="O164" s="744"/>
    </row>
    <row r="165" spans="1:15" s="386" customFormat="1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647">
        <f t="shared" si="19"/>
        <v>33</v>
      </c>
      <c r="O165" s="744"/>
    </row>
    <row r="166" spans="1:15" s="386" customFormat="1">
      <c r="A166" s="648" t="s">
        <v>153</v>
      </c>
      <c r="B166" s="649" t="s">
        <v>564</v>
      </c>
      <c r="C166" s="647">
        <f>'Order form'!F412</f>
        <v>200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8</v>
      </c>
      <c r="H166" s="218">
        <v>1.8700000000000001E-2</v>
      </c>
      <c r="I166" s="219">
        <f t="shared" si="18"/>
        <v>3.74</v>
      </c>
      <c r="J166" s="219" t="s">
        <v>22</v>
      </c>
      <c r="K166" s="742">
        <f>'Order form'!G413</f>
        <v>100</v>
      </c>
      <c r="L166" s="219">
        <f t="shared" si="20"/>
        <v>2</v>
      </c>
      <c r="M166" s="650">
        <f t="shared" si="21"/>
        <v>1.87</v>
      </c>
      <c r="N166" s="647">
        <f t="shared" si="19"/>
        <v>34</v>
      </c>
      <c r="O166" s="744"/>
    </row>
    <row r="167" spans="1:15" s="386" customFormat="1">
      <c r="A167" s="648" t="s">
        <v>153</v>
      </c>
      <c r="B167" s="649" t="s">
        <v>564</v>
      </c>
      <c r="C167" s="647">
        <f>'Order form'!K412</f>
        <v>100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4</v>
      </c>
      <c r="H167" s="218">
        <v>1.8700000000000001E-2</v>
      </c>
      <c r="I167" s="219">
        <f t="shared" si="18"/>
        <v>1.87</v>
      </c>
      <c r="J167" s="219" t="s">
        <v>22</v>
      </c>
      <c r="K167" s="742">
        <f>'Order form'!L413</f>
        <v>100</v>
      </c>
      <c r="L167" s="219">
        <f t="shared" si="20"/>
        <v>1</v>
      </c>
      <c r="M167" s="650">
        <f t="shared" si="21"/>
        <v>1.87</v>
      </c>
      <c r="N167" s="647">
        <f t="shared" si="19"/>
        <v>35</v>
      </c>
      <c r="O167" s="744"/>
    </row>
    <row r="168" spans="1:15" s="386" customFormat="1">
      <c r="A168" s="648" t="s">
        <v>153</v>
      </c>
      <c r="B168" s="649" t="s">
        <v>564</v>
      </c>
      <c r="C168" s="647">
        <f>'Order form'!P412</f>
        <v>200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8</v>
      </c>
      <c r="H168" s="218">
        <v>1.8700000000000001E-2</v>
      </c>
      <c r="I168" s="219">
        <f t="shared" si="18"/>
        <v>3.74</v>
      </c>
      <c r="J168" s="219" t="s">
        <v>22</v>
      </c>
      <c r="K168" s="742">
        <f>'Order form'!Q413</f>
        <v>100</v>
      </c>
      <c r="L168" s="219">
        <f t="shared" si="20"/>
        <v>2</v>
      </c>
      <c r="M168" s="650">
        <f t="shared" si="21"/>
        <v>1.87</v>
      </c>
      <c r="N168" s="647">
        <f t="shared" si="19"/>
        <v>36</v>
      </c>
      <c r="O168" s="744"/>
    </row>
    <row r="169" spans="1:15" s="386" customFormat="1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647">
        <f t="shared" si="19"/>
        <v>36</v>
      </c>
      <c r="O169" s="744"/>
    </row>
    <row r="170" spans="1:15" s="386" customFormat="1">
      <c r="A170" s="648" t="s">
        <v>153</v>
      </c>
      <c r="B170" s="649" t="s">
        <v>158</v>
      </c>
      <c r="C170" s="647">
        <f>'Order form'!F423</f>
        <v>8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6.4</v>
      </c>
      <c r="H170" s="218">
        <v>0.1804</v>
      </c>
      <c r="I170" s="219">
        <f t="shared" si="18"/>
        <v>1.4432</v>
      </c>
      <c r="J170" s="219" t="s">
        <v>22</v>
      </c>
      <c r="K170" s="742">
        <f>'Order form'!G424</f>
        <v>180</v>
      </c>
      <c r="L170" s="219">
        <f t="shared" si="20"/>
        <v>4.4444444444444446E-2</v>
      </c>
      <c r="M170" s="650">
        <f t="shared" si="21"/>
        <v>32.472000000000001</v>
      </c>
      <c r="N170" s="647">
        <f t="shared" si="19"/>
        <v>37</v>
      </c>
      <c r="O170" s="744"/>
    </row>
    <row r="171" spans="1:15" s="386" customFormat="1">
      <c r="A171" s="648" t="s">
        <v>153</v>
      </c>
      <c r="B171" s="649" t="s">
        <v>158</v>
      </c>
      <c r="C171" s="647">
        <f>'Order form'!K423</f>
        <v>8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6.4</v>
      </c>
      <c r="H171" s="218">
        <v>0.17380000000000001</v>
      </c>
      <c r="I171" s="219">
        <f t="shared" si="18"/>
        <v>1.3904000000000001</v>
      </c>
      <c r="J171" s="219" t="s">
        <v>22</v>
      </c>
      <c r="K171" s="742">
        <f>'Order form'!L424</f>
        <v>180</v>
      </c>
      <c r="L171" s="219">
        <f t="shared" si="20"/>
        <v>4.4444444444444446E-2</v>
      </c>
      <c r="M171" s="650">
        <f t="shared" si="21"/>
        <v>31.284000000000002</v>
      </c>
      <c r="N171" s="647">
        <f t="shared" si="19"/>
        <v>38</v>
      </c>
      <c r="O171" s="744"/>
    </row>
    <row r="172" spans="1:15" s="386" customFormat="1">
      <c r="A172" s="648" t="s">
        <v>153</v>
      </c>
      <c r="B172" s="649" t="s">
        <v>158</v>
      </c>
      <c r="C172" s="647">
        <f>'Order form'!P423</f>
        <v>0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0</v>
      </c>
      <c r="H172" s="218">
        <v>0.23799999999999999</v>
      </c>
      <c r="I172" s="219">
        <f t="shared" si="18"/>
        <v>0</v>
      </c>
      <c r="J172" s="219" t="s">
        <v>22</v>
      </c>
      <c r="K172" s="742">
        <f>'Order form'!Q424</f>
        <v>90</v>
      </c>
      <c r="L172" s="219">
        <f t="shared" si="20"/>
        <v>0</v>
      </c>
      <c r="M172" s="650">
        <f t="shared" si="21"/>
        <v>21.419999999999998</v>
      </c>
      <c r="N172" s="647">
        <f t="shared" si="19"/>
        <v>38</v>
      </c>
      <c r="O172" s="744"/>
    </row>
    <row r="173" spans="1:15" s="386" customFormat="1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647">
        <f t="shared" si="19"/>
        <v>38</v>
      </c>
      <c r="O173" s="744"/>
    </row>
    <row r="174" spans="1:15" s="386" customFormat="1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647">
        <f t="shared" si="19"/>
        <v>38</v>
      </c>
      <c r="O174" s="684"/>
    </row>
    <row r="175" spans="1:15" s="386" customFormat="1">
      <c r="A175" s="648" t="s">
        <v>153</v>
      </c>
      <c r="B175" s="649" t="s">
        <v>157</v>
      </c>
      <c r="C175" s="647">
        <f>'Order form'!F434</f>
        <v>16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2.4</v>
      </c>
      <c r="H175" s="218">
        <v>3.7400000000000003E-2</v>
      </c>
      <c r="I175" s="219">
        <f t="shared" si="18"/>
        <v>0.59840000000000004</v>
      </c>
      <c r="J175" s="219" t="s">
        <v>22</v>
      </c>
      <c r="K175" s="742">
        <f>'Order form'!G435</f>
        <v>800</v>
      </c>
      <c r="L175" s="219">
        <f t="shared" si="20"/>
        <v>0.02</v>
      </c>
      <c r="M175" s="650">
        <f t="shared" si="21"/>
        <v>29.92</v>
      </c>
      <c r="N175" s="647">
        <f t="shared" si="19"/>
        <v>39</v>
      </c>
      <c r="O175" s="684"/>
    </row>
    <row r="176" spans="1:15" s="386" customFormat="1">
      <c r="A176" s="648" t="s">
        <v>153</v>
      </c>
      <c r="B176" s="649" t="s">
        <v>157</v>
      </c>
      <c r="C176" s="647">
        <f>'Order form'!K434</f>
        <v>0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0</v>
      </c>
      <c r="H176" s="218">
        <v>8.8000000000000005E-3</v>
      </c>
      <c r="I176" s="219">
        <f t="shared" si="18"/>
        <v>0</v>
      </c>
      <c r="J176" s="219" t="s">
        <v>22</v>
      </c>
      <c r="K176" s="742">
        <f>'Order form'!L435</f>
        <v>800</v>
      </c>
      <c r="L176" s="219">
        <f t="shared" si="20"/>
        <v>0</v>
      </c>
      <c r="M176" s="650">
        <f t="shared" si="21"/>
        <v>7.04</v>
      </c>
      <c r="N176" s="647">
        <f t="shared" si="19"/>
        <v>39</v>
      </c>
      <c r="O176" s="684"/>
    </row>
    <row r="177" spans="1:15" s="386" customFormat="1">
      <c r="A177" s="648" t="s">
        <v>153</v>
      </c>
      <c r="B177" s="649" t="s">
        <v>157</v>
      </c>
      <c r="C177" s="647">
        <f>'Order form'!P434</f>
        <v>16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0.96</v>
      </c>
      <c r="H177" s="218">
        <v>8.8000000000000005E-3</v>
      </c>
      <c r="I177" s="219">
        <f t="shared" ref="I177:I178" si="23">C177*H177</f>
        <v>0.14080000000000001</v>
      </c>
      <c r="J177" s="219" t="s">
        <v>22</v>
      </c>
      <c r="K177" s="742">
        <f>'Order form'!Q435</f>
        <v>200</v>
      </c>
      <c r="L177" s="219">
        <f t="shared" si="20"/>
        <v>0.08</v>
      </c>
      <c r="M177" s="650">
        <f t="shared" si="21"/>
        <v>1.76</v>
      </c>
      <c r="N177" s="647">
        <f t="shared" si="19"/>
        <v>40</v>
      </c>
      <c r="O177" s="684"/>
    </row>
    <row r="178" spans="1:15" s="386" customFormat="1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647">
        <f t="shared" si="19"/>
        <v>40</v>
      </c>
      <c r="O178" s="683">
        <f>SUM(G157:G178)</f>
        <v>56.959999999999994</v>
      </c>
    </row>
    <row r="179" spans="1:15" s="651" customFormat="1" ht="12.6" customHeight="1">
      <c r="A179" s="750" t="s">
        <v>153</v>
      </c>
      <c r="B179" s="751" t="s">
        <v>421</v>
      </c>
      <c r="C179" s="752">
        <f>'Order form'!F447</f>
        <v>8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72</v>
      </c>
      <c r="H179" s="749">
        <v>1.595</v>
      </c>
      <c r="I179" s="754">
        <f>C179*H179</f>
        <v>12.76</v>
      </c>
      <c r="J179" s="754" t="s">
        <v>22</v>
      </c>
      <c r="K179" s="754">
        <f>'Order form'!G448</f>
        <v>40</v>
      </c>
      <c r="L179" s="754">
        <f t="shared" si="20"/>
        <v>0.2</v>
      </c>
      <c r="M179" s="755">
        <f t="shared" ref="M179:M213" si="24">K179*H179</f>
        <v>63.8</v>
      </c>
      <c r="N179" s="752">
        <f t="shared" si="19"/>
        <v>41</v>
      </c>
      <c r="O179" s="1260">
        <f>SUM(G179:G195)</f>
        <v>175</v>
      </c>
    </row>
    <row r="180" spans="1:15" s="651" customFormat="1" ht="12.6" customHeight="1">
      <c r="A180" s="750" t="s">
        <v>153</v>
      </c>
      <c r="B180" s="751" t="s">
        <v>421</v>
      </c>
      <c r="C180" s="752">
        <f>'Order form'!K447</f>
        <v>0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0</v>
      </c>
      <c r="H180" s="749">
        <v>1.1659999999999999</v>
      </c>
      <c r="I180" s="754">
        <f t="shared" ref="I180:I213" si="25">C180*H180</f>
        <v>0</v>
      </c>
      <c r="J180" s="754" t="s">
        <v>22</v>
      </c>
      <c r="K180" s="754">
        <f>'Order form'!L448</f>
        <v>6</v>
      </c>
      <c r="L180" s="754">
        <f t="shared" ref="L180:L213" si="26">C180/K180</f>
        <v>0</v>
      </c>
      <c r="M180" s="755">
        <f t="shared" si="24"/>
        <v>6.9959999999999996</v>
      </c>
      <c r="N180" s="752">
        <f t="shared" si="19"/>
        <v>41</v>
      </c>
      <c r="O180" s="1261"/>
    </row>
    <row r="181" spans="1:15" s="651" customFormat="1" ht="12.6" customHeight="1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702">
        <f t="shared" si="19"/>
        <v>41</v>
      </c>
      <c r="O181" s="1261"/>
    </row>
    <row r="182" spans="1:15" s="651" customFormat="1" ht="12.6" customHeight="1">
      <c r="A182" s="750" t="s">
        <v>153</v>
      </c>
      <c r="B182" s="751" t="s">
        <v>421</v>
      </c>
      <c r="C182" s="752">
        <f>'Order form'!F458</f>
        <v>6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60</v>
      </c>
      <c r="H182" s="749">
        <v>1.881</v>
      </c>
      <c r="I182" s="754">
        <f t="shared" si="25"/>
        <v>11.286</v>
      </c>
      <c r="J182" s="754" t="s">
        <v>22</v>
      </c>
      <c r="K182" s="754">
        <f>'Order form'!G459</f>
        <v>4</v>
      </c>
      <c r="L182" s="754">
        <f t="shared" si="26"/>
        <v>1.5</v>
      </c>
      <c r="M182" s="755">
        <f t="shared" si="24"/>
        <v>7.524</v>
      </c>
      <c r="N182" s="702">
        <f t="shared" si="19"/>
        <v>42</v>
      </c>
      <c r="O182" s="1261"/>
    </row>
    <row r="183" spans="1:15" s="651" customFormat="1">
      <c r="A183" s="750" t="s">
        <v>153</v>
      </c>
      <c r="B183" s="751" t="s">
        <v>421</v>
      </c>
      <c r="C183" s="752">
        <f>'Order form'!K458</f>
        <v>0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0</v>
      </c>
      <c r="H183" s="749">
        <v>1.496</v>
      </c>
      <c r="I183" s="754">
        <f t="shared" si="25"/>
        <v>0</v>
      </c>
      <c r="J183" s="754" t="s">
        <v>22</v>
      </c>
      <c r="K183" s="754">
        <f>'Order form'!L459</f>
        <v>32</v>
      </c>
      <c r="L183" s="754">
        <f t="shared" si="26"/>
        <v>0</v>
      </c>
      <c r="M183" s="755">
        <f t="shared" si="24"/>
        <v>47.872</v>
      </c>
      <c r="N183" s="702">
        <f t="shared" si="19"/>
        <v>42</v>
      </c>
      <c r="O183" s="1261"/>
    </row>
    <row r="184" spans="1:15" s="651" customFormat="1" ht="12.6" customHeight="1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702">
        <f t="shared" si="19"/>
        <v>42</v>
      </c>
      <c r="O184" s="1261"/>
    </row>
    <row r="185" spans="1:15" s="651" customFormat="1" ht="12.6" customHeight="1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702">
        <f t="shared" si="19"/>
        <v>42</v>
      </c>
      <c r="O185" s="1261"/>
    </row>
    <row r="186" spans="1:15" s="651" customFormat="1" ht="12.6" customHeight="1">
      <c r="A186" s="750" t="s">
        <v>153</v>
      </c>
      <c r="B186" s="751" t="s">
        <v>421</v>
      </c>
      <c r="C186" s="752">
        <f>'Order form'!F469</f>
        <v>4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43</v>
      </c>
      <c r="H186" s="749">
        <v>1.881</v>
      </c>
      <c r="I186" s="754">
        <f t="shared" ref="I186:I195" si="28">C186*H186</f>
        <v>7.524</v>
      </c>
      <c r="J186" s="754" t="s">
        <v>22</v>
      </c>
      <c r="K186" s="754">
        <f>'Order form'!G470</f>
        <v>40</v>
      </c>
      <c r="L186" s="754">
        <f t="shared" si="26"/>
        <v>0.1</v>
      </c>
      <c r="M186" s="755">
        <f t="shared" si="24"/>
        <v>75.239999999999995</v>
      </c>
      <c r="N186" s="702">
        <f t="shared" si="19"/>
        <v>43</v>
      </c>
      <c r="O186" s="1261"/>
    </row>
    <row r="187" spans="1:15" s="651" customFormat="1" ht="12.6" customHeight="1">
      <c r="A187" s="750" t="s">
        <v>153</v>
      </c>
      <c r="B187" s="751" t="s">
        <v>421</v>
      </c>
      <c r="C187" s="752">
        <f>'Order form'!K469</f>
        <v>0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0</v>
      </c>
      <c r="H187" s="749">
        <v>1.804</v>
      </c>
      <c r="I187" s="754">
        <f t="shared" si="28"/>
        <v>0</v>
      </c>
      <c r="J187" s="754" t="s">
        <v>22</v>
      </c>
      <c r="K187" s="754">
        <f>'Order form'!L470</f>
        <v>40</v>
      </c>
      <c r="L187" s="754">
        <f t="shared" si="26"/>
        <v>0</v>
      </c>
      <c r="M187" s="755">
        <f t="shared" si="24"/>
        <v>72.16</v>
      </c>
      <c r="N187" s="702">
        <f t="shared" si="19"/>
        <v>43</v>
      </c>
      <c r="O187" s="1261"/>
    </row>
    <row r="188" spans="1:15" s="651" customFormat="1" ht="12.6" customHeight="1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702">
        <f t="shared" si="19"/>
        <v>43</v>
      </c>
      <c r="O188" s="1261"/>
    </row>
    <row r="189" spans="1:15" s="651" customFormat="1" ht="12.6" customHeight="1">
      <c r="A189" s="750" t="s">
        <v>153</v>
      </c>
      <c r="B189" s="222" t="s">
        <v>421</v>
      </c>
      <c r="C189" s="752">
        <f>'Order form'!U469</f>
        <v>0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0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0</v>
      </c>
      <c r="M189" s="755">
        <f t="shared" si="24"/>
        <v>0</v>
      </c>
      <c r="N189" s="702">
        <f t="shared" si="19"/>
        <v>43</v>
      </c>
      <c r="O189" s="1261"/>
    </row>
    <row r="190" spans="1:15" s="651" customFormat="1" ht="12.6" customHeight="1">
      <c r="A190" s="750" t="s">
        <v>153</v>
      </c>
      <c r="B190" s="222" t="s">
        <v>421</v>
      </c>
      <c r="C190" s="752">
        <f>'Order form'!Z469</f>
        <v>0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0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0</v>
      </c>
      <c r="M190" s="755">
        <f t="shared" si="24"/>
        <v>0</v>
      </c>
      <c r="N190" s="702">
        <f t="shared" si="19"/>
        <v>43</v>
      </c>
      <c r="O190" s="1261"/>
    </row>
    <row r="191" spans="1:15" s="651" customFormat="1" ht="12.6" customHeight="1">
      <c r="A191" s="750" t="s">
        <v>153</v>
      </c>
      <c r="B191" s="751" t="s">
        <v>421</v>
      </c>
      <c r="C191" s="752">
        <f>'Order form'!F480</f>
        <v>0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0</v>
      </c>
      <c r="H191" s="749">
        <v>2.34</v>
      </c>
      <c r="I191" s="754">
        <f t="shared" si="30"/>
        <v>0</v>
      </c>
      <c r="J191" s="754" t="s">
        <v>22</v>
      </c>
      <c r="K191" s="754">
        <f>'Order form'!G481</f>
        <v>12</v>
      </c>
      <c r="L191" s="754">
        <f t="shared" si="26"/>
        <v>0</v>
      </c>
      <c r="M191" s="755">
        <f t="shared" si="24"/>
        <v>28.08</v>
      </c>
      <c r="N191" s="702">
        <f t="shared" si="19"/>
        <v>43</v>
      </c>
      <c r="O191" s="1261"/>
    </row>
    <row r="192" spans="1:15" s="651" customFormat="1" ht="12.6" customHeight="1">
      <c r="A192" s="750" t="s">
        <v>153</v>
      </c>
      <c r="B192" s="751" t="s">
        <v>421</v>
      </c>
      <c r="C192" s="752">
        <f>'Order form'!K480</f>
        <v>0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0</v>
      </c>
      <c r="H192" s="749">
        <v>1.595</v>
      </c>
      <c r="I192" s="754">
        <f t="shared" si="30"/>
        <v>0</v>
      </c>
      <c r="J192" s="754" t="s">
        <v>22</v>
      </c>
      <c r="K192" s="754">
        <f>'Order form'!L481</f>
        <v>12</v>
      </c>
      <c r="L192" s="754">
        <f t="shared" si="26"/>
        <v>0</v>
      </c>
      <c r="M192" s="755">
        <f t="shared" si="24"/>
        <v>19.14</v>
      </c>
      <c r="N192" s="702">
        <f t="shared" si="19"/>
        <v>43</v>
      </c>
      <c r="O192" s="1261"/>
    </row>
    <row r="193" spans="1:15" s="651" customFormat="1" ht="12.6" customHeight="1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702">
        <f t="shared" si="19"/>
        <v>43</v>
      </c>
      <c r="O193" s="1261"/>
    </row>
    <row r="194" spans="1:15" s="651" customFormat="1" ht="12.6" customHeight="1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702">
        <f t="shared" si="19"/>
        <v>43</v>
      </c>
      <c r="O194" s="1261"/>
    </row>
    <row r="195" spans="1:15" s="651" customFormat="1" ht="12.6" customHeight="1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702">
        <f t="shared" si="19"/>
        <v>43</v>
      </c>
      <c r="O195" s="1262"/>
    </row>
    <row r="196" spans="1:15" s="386" customFormat="1" ht="12.6" customHeight="1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702">
        <f t="shared" si="19"/>
        <v>43</v>
      </c>
      <c r="O196" s="740"/>
    </row>
    <row r="197" spans="1:15" s="386" customFormat="1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702">
        <f t="shared" si="19"/>
        <v>43</v>
      </c>
      <c r="O197" s="741"/>
    </row>
    <row r="198" spans="1:15" s="386" customFormat="1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702">
        <f t="shared" si="19"/>
        <v>43</v>
      </c>
      <c r="O198" s="741"/>
    </row>
    <row r="199" spans="1:15" s="386" customFormat="1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702">
        <f t="shared" si="19"/>
        <v>43</v>
      </c>
      <c r="O199" s="741"/>
    </row>
    <row r="200" spans="1:15" s="386" customFormat="1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702">
        <f t="shared" si="19"/>
        <v>43</v>
      </c>
      <c r="O200" s="741"/>
    </row>
    <row r="201" spans="1:15" s="386" customFormat="1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702">
        <f t="shared" si="19"/>
        <v>43</v>
      </c>
      <c r="O201" s="741"/>
    </row>
    <row r="202" spans="1:15" s="386" customFormat="1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702">
        <f t="shared" si="19"/>
        <v>43</v>
      </c>
      <c r="O202" s="741"/>
    </row>
    <row r="203" spans="1:15" s="386" customFormat="1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702">
        <f t="shared" si="19"/>
        <v>43</v>
      </c>
      <c r="O203" s="741"/>
    </row>
    <row r="204" spans="1:15" s="386" customFormat="1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702">
        <f t="shared" si="19"/>
        <v>43</v>
      </c>
      <c r="O204" s="741"/>
    </row>
    <row r="205" spans="1:15" s="386" customFormat="1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702">
        <f t="shared" si="19"/>
        <v>43</v>
      </c>
      <c r="O205" s="741"/>
    </row>
    <row r="206" spans="1:15" s="386" customFormat="1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702">
        <f t="shared" si="19"/>
        <v>43</v>
      </c>
      <c r="O206" s="741"/>
    </row>
    <row r="207" spans="1:15" s="386" customFormat="1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702">
        <f t="shared" si="19"/>
        <v>43</v>
      </c>
      <c r="O207" s="394"/>
    </row>
    <row r="208" spans="1:15" s="386" customFormat="1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702">
        <f t="shared" si="19"/>
        <v>43</v>
      </c>
      <c r="O208" s="394"/>
    </row>
    <row r="209" spans="1:16" s="386" customFormat="1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702">
        <f t="shared" si="19"/>
        <v>43</v>
      </c>
      <c r="O209" s="394"/>
    </row>
    <row r="210" spans="1:16" s="386" customFormat="1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702">
        <f t="shared" si="19"/>
        <v>43</v>
      </c>
      <c r="O210" s="394"/>
    </row>
    <row r="211" spans="1:16" s="386" customFormat="1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702">
        <f t="shared" si="19"/>
        <v>43</v>
      </c>
      <c r="O211" s="394"/>
    </row>
    <row r="212" spans="1:16" s="386" customFormat="1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702">
        <f t="shared" si="19"/>
        <v>43</v>
      </c>
      <c r="O212" s="395"/>
    </row>
    <row r="213" spans="1:16" s="386" customFormat="1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702">
        <f t="shared" si="19"/>
        <v>43</v>
      </c>
      <c r="O213" s="387">
        <f>SUM(G205:G213)</f>
        <v>0</v>
      </c>
    </row>
    <row r="214" spans="1:16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702">
        <f t="shared" ref="N214:N218" si="31">IF(C214=0,N213,N213+1)</f>
        <v>43</v>
      </c>
      <c r="O214" s="220"/>
      <c r="P214" s="207" t="s">
        <v>404</v>
      </c>
    </row>
    <row r="215" spans="1:16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702">
        <f t="shared" si="31"/>
        <v>43</v>
      </c>
      <c r="O215" s="220"/>
      <c r="P215" s="207" t="s">
        <v>404</v>
      </c>
    </row>
    <row r="216" spans="1:16" s="232" customFormat="1">
      <c r="A216" s="227"/>
      <c r="B216" s="227"/>
      <c r="C216" s="223">
        <f>IF('Order form'!Y545&gt;0,1,0)</f>
        <v>0</v>
      </c>
      <c r="D216" s="223"/>
      <c r="E216" s="223" t="str">
        <f>'Order form'!S545</f>
        <v>PREPARATION CHARGE:</v>
      </c>
      <c r="F216" s="228">
        <f>'Order form'!Y545</f>
        <v>0</v>
      </c>
      <c r="G216" s="224">
        <f t="shared" ref="G216:G218" si="32">F216*C216</f>
        <v>0</v>
      </c>
      <c r="H216" s="229"/>
      <c r="I216" s="223">
        <v>0</v>
      </c>
      <c r="J216" s="223"/>
      <c r="K216" s="223"/>
      <c r="L216" s="223"/>
      <c r="M216" s="230"/>
      <c r="N216" s="702">
        <f t="shared" si="31"/>
        <v>43</v>
      </c>
      <c r="O216" s="231"/>
      <c r="P216" s="207" t="s">
        <v>403</v>
      </c>
    </row>
    <row r="217" spans="1:16" s="232" customFormat="1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702">
        <f t="shared" si="31"/>
        <v>43</v>
      </c>
      <c r="O217" s="231"/>
      <c r="P217" s="207" t="s">
        <v>403</v>
      </c>
    </row>
    <row r="218" spans="1:16" s="232" customFormat="1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702">
        <f t="shared" si="31"/>
        <v>43</v>
      </c>
      <c r="O218" s="231"/>
      <c r="P218" s="207" t="s">
        <v>403</v>
      </c>
    </row>
    <row r="219" spans="1:16" ht="6" customHeight="1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552.69723999999997</v>
      </c>
      <c r="J220" s="235"/>
      <c r="K220" s="235"/>
      <c r="L220" s="235"/>
      <c r="M220" s="238"/>
      <c r="N220" s="235"/>
      <c r="O220" s="235"/>
    </row>
    <row r="221" spans="1:16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5</v>
      </c>
    </row>
    <row r="222" spans="1:16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14</v>
      </c>
    </row>
    <row r="223" spans="1:16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4</v>
      </c>
    </row>
    <row r="224" spans="1:16">
      <c r="F224" s="207"/>
      <c r="G224" s="207"/>
      <c r="H224" s="1257"/>
      <c r="I224" s="1257"/>
      <c r="J224" s="1257"/>
      <c r="K224" s="1257"/>
    </row>
    <row r="225" spans="3:11">
      <c r="C225" s="225" t="str">
        <f>Quotation!B64</f>
        <v>TRANSPORT SHOULD BE DONE BY:</v>
      </c>
      <c r="D225" s="227" t="s">
        <v>31</v>
      </c>
      <c r="E225" s="227">
        <f>Quotation!D64</f>
        <v>552.69723999999997</v>
      </c>
      <c r="F225" s="240">
        <v>0</v>
      </c>
      <c r="G225" s="241">
        <v>0</v>
      </c>
      <c r="H225" s="242"/>
      <c r="I225" s="243"/>
      <c r="J225" s="243"/>
      <c r="K225" s="243"/>
    </row>
    <row r="226" spans="3:11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>
      <c r="C229" s="1248" t="s">
        <v>105</v>
      </c>
      <c r="D229" s="249">
        <f>IF(I220&gt;150,IF((L221+L223)&gt;0,IF(I220&gt;1500,2,1),0),0)</f>
        <v>1</v>
      </c>
      <c r="E229" s="249" t="s">
        <v>501</v>
      </c>
      <c r="F229" s="250">
        <f>IF(D229=0,H228,H228+1)+L201</f>
        <v>1</v>
      </c>
      <c r="G229" s="251">
        <f t="shared" si="33"/>
        <v>1</v>
      </c>
      <c r="H229" s="248"/>
      <c r="I229" s="214"/>
    </row>
    <row r="230" spans="3:11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1</v>
      </c>
      <c r="H230" s="248"/>
      <c r="I230" s="214"/>
    </row>
    <row r="231" spans="3:11">
      <c r="C231" s="1250"/>
      <c r="D231" s="249"/>
      <c r="E231" s="249"/>
      <c r="F231" s="252"/>
      <c r="G231" s="251">
        <f t="shared" si="33"/>
        <v>1</v>
      </c>
      <c r="H231" s="248"/>
    </row>
    <row r="232" spans="3:11">
      <c r="D232" s="207">
        <f>SUM(D226:D230)</f>
        <v>1</v>
      </c>
    </row>
    <row r="233" spans="3:11">
      <c r="E233" s="214" t="s">
        <v>574</v>
      </c>
    </row>
    <row r="234" spans="3:11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F180:N180 L197:L213 G196:G213 B207:B213 H4:H68 H71:H133 B4:G133 I4:N133 M131:M134 L116:L152 B180:E185 F181:M185 B186:M187 B194:M201 C202:N215 K134:M174 N61:N218 B188 C188:M193 K175:K178 M175:M178 M179:N179 L175:L195 J139:J178 B134:I17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91" t="str">
        <f>Quotation!D65</f>
        <v>Wood skids 96'' X 48'' X 35'' (H)</v>
      </c>
      <c r="I21" s="1291"/>
      <c r="J21" s="1292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>
      <c r="A28" s="3"/>
      <c r="B28" s="22"/>
      <c r="C28" s="10" t="str">
        <f>IFERROR(INDEX(Resume!$A$3:$F$215,MATCH(ROW($B1),Resume!$N$3:$N$215,0),MATCH('Commercial Invoice'!C$25,Resume!$A$2:$F$2,0)),"")</f>
        <v>CHINA</v>
      </c>
      <c r="D28" s="181" t="str">
        <f>IFERROR(INDEX(Resume!$A$3:$F$215,MATCH(ROW($B1),Resume!$N$3:$N$215,0),MATCH('Commercial Invoice'!D$25,Resume!$A$2:$F$2,0)),"")</f>
        <v>7306.30.5020</v>
      </c>
      <c r="E28" s="181">
        <f>IFERROR(INDEX(Resume!$A$3:$F$215,MATCH(ROW($B1),Resume!$N$3:$N$215,0),MATCH('Commercial Invoice'!E$25,Resume!$A$2:$F$2,0)),"")</f>
        <v>40</v>
      </c>
      <c r="F28" s="181" t="str">
        <f>IFERROR(INDEX(Resume!$A$3:$F$215,MATCH(ROW($B1),Resume!$N$3:$N$215,0),MATCH('Commercial Invoice'!F$25,Resume!$A$2:$F$2,0)),"")</f>
        <v>P-96-BL</v>
      </c>
      <c r="G28" s="1295" t="str">
        <f>IFERROR(INDEX(Resume!$A$3:$F$215,MATCH(ROW($B1),Resume!$N$3:$N$215,0),MATCH('Commercial Invoice'!G$25,Resume!$A$2:$F$2,0)),"")</f>
        <v>Blue 8' steel pipe PE coated</v>
      </c>
      <c r="H28" s="1296"/>
      <c r="I28" s="182">
        <f>IFERROR(INDEX(Resume!$A$3:$F$215,MATCH(ROW($B1),Resume!$N$3:$N$215,0),MATCH('Commercial Invoice'!I$25,Resume!$A$2:$F$2,0)),"")</f>
        <v>6.5</v>
      </c>
      <c r="J28" s="180">
        <f t="shared" ref="J28:J60" si="0">IFERROR(I28*E28,"")</f>
        <v>260</v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IFERROR(INDEX(Resume!$A$3:$F$215,MATCH(ROW($B2),Resume!$N$3:$N$215,0),MATCH('Commercial Invoice'!C$25,Resume!$A$2:$F$2,0)),"")</f>
        <v>CHINA</v>
      </c>
      <c r="D29" s="181" t="str">
        <f>IFERROR(INDEX(Resume!$A$3:$F$215,MATCH(ROW($B2),Resume!$N$3:$N$215,0),MATCH('Commercial Invoice'!D$25,Resume!$A$2:$F$2,0)),"")</f>
        <v>9403.90.8041</v>
      </c>
      <c r="E29" s="181">
        <f>IFERROR(INDEX(Resume!$A$3:$F$215,MATCH(ROW($B2),Resume!$N$3:$N$215,0),MATCH('Commercial Invoice'!E$25,Resume!$A$2:$F$2,0)),"")</f>
        <v>8</v>
      </c>
      <c r="F29" s="181" t="str">
        <f>IFERROR(INDEX(Resume!$A$3:$F$215,MATCH(ROW($B2),Resume!$N$3:$N$215,0),MATCH('Commercial Invoice'!F$25,Resume!$A$2:$F$2,0)),"")</f>
        <v>R40-RT96</v>
      </c>
      <c r="G29" s="1295" t="str">
        <f>IFERROR(INDEX(Resume!$A$3:$F$215,MATCH(ROW($B2),Resume!$N$3:$N$215,0),MATCH('Commercial Invoice'!G$25,Resume!$A$2:$F$2,0)),"")</f>
        <v>8' Steel roller track (ESD)</v>
      </c>
      <c r="H29" s="1296"/>
      <c r="I29" s="182">
        <f>IFERROR(INDEX(Resume!$A$3:$F$215,MATCH(ROW($B2),Resume!$N$3:$N$215,0),MATCH('Commercial Invoice'!I$25,Resume!$A$2:$F$2,0)),"")</f>
        <v>18.5</v>
      </c>
      <c r="J29" s="180">
        <f t="shared" si="0"/>
        <v>148</v>
      </c>
      <c r="N29" s="21"/>
      <c r="O29" s="21"/>
    </row>
    <row r="30" spans="1:33" ht="13.15" customHeight="1">
      <c r="A30" s="1"/>
      <c r="B30" s="1"/>
      <c r="C30" s="10" t="str">
        <f>IFERROR(INDEX(Resume!$A$3:$F$215,MATCH(ROW($B3),Resume!$N$3:$N$215,0),MATCH('Commercial Invoice'!C$25,Resume!$A$2:$F$2,0)),"")</f>
        <v>CHINA</v>
      </c>
      <c r="D30" s="181" t="str">
        <f>IFERROR(INDEX(Resume!$A$3:$F$215,MATCH(ROW($B3),Resume!$N$3:$N$215,0),MATCH('Commercial Invoice'!D$25,Resume!$A$2:$F$2,0)),"")</f>
        <v>9403.90.8041</v>
      </c>
      <c r="E30" s="181">
        <f>IFERROR(INDEX(Resume!$A$3:$F$215,MATCH(ROW($B3),Resume!$N$3:$N$215,0),MATCH('Commercial Invoice'!E$25,Resume!$A$2:$F$2,0)),"")</f>
        <v>24</v>
      </c>
      <c r="F30" s="181" t="str">
        <f>IFERROR(INDEX(Resume!$A$3:$F$215,MATCH(ROW($B3),Resume!$N$3:$N$215,0),MATCH('Commercial Invoice'!F$25,Resume!$A$2:$F$2,0)),"")</f>
        <v>R40-MS</v>
      </c>
      <c r="G30" s="1295" t="str">
        <f>IFERROR(INDEX(Resume!$A$3:$F$215,MATCH(ROW($B3),Resume!$N$3:$N$215,0),MATCH('Commercial Invoice'!G$25,Resume!$A$2:$F$2,0)),"")</f>
        <v>Track mount start steel zinc</v>
      </c>
      <c r="H30" s="1296"/>
      <c r="I30" s="182">
        <f>IFERROR(INDEX(Resume!$A$3:$F$215,MATCH(ROW($B3),Resume!$N$3:$N$215,0),MATCH('Commercial Invoice'!I$25,Resume!$A$2:$F$2,0)),"")</f>
        <v>1.4</v>
      </c>
      <c r="J30" s="180">
        <f t="shared" si="0"/>
        <v>33.599999999999994</v>
      </c>
      <c r="L30" s="13"/>
    </row>
    <row r="31" spans="1:33" ht="13.15" customHeight="1">
      <c r="A31" s="1"/>
      <c r="B31" s="1"/>
      <c r="C31" s="10" t="str">
        <f>IFERROR(INDEX(Resume!$A$3:$F$215,MATCH(ROW($B4),Resume!$N$3:$N$215,0),MATCH('Commercial Invoice'!C$25,Resume!$A$2:$F$2,0)),"")</f>
        <v>CHINA</v>
      </c>
      <c r="D31" s="181" t="str">
        <f>IFERROR(INDEX(Resume!$A$3:$F$215,MATCH(ROW($B4),Resume!$N$3:$N$215,0),MATCH('Commercial Invoice'!D$25,Resume!$A$2:$F$2,0)),"")</f>
        <v>9403.90.8041</v>
      </c>
      <c r="E31" s="181">
        <f>IFERROR(INDEX(Resume!$A$3:$F$215,MATCH(ROW($B4),Resume!$N$3:$N$215,0),MATCH('Commercial Invoice'!E$25,Resume!$A$2:$F$2,0)),"")</f>
        <v>24</v>
      </c>
      <c r="F31" s="181" t="str">
        <f>IFERROR(INDEX(Resume!$A$3:$F$215,MATCH(ROW($B4),Resume!$N$3:$N$215,0),MATCH('Commercial Invoice'!F$25,Resume!$A$2:$F$2,0)),"")</f>
        <v>R40-DS</v>
      </c>
      <c r="G31" s="1295" t="str">
        <f>IFERROR(INDEX(Resume!$A$3:$F$215,MATCH(ROW($B4),Resume!$N$3:$N$215,0),MATCH('Commercial Invoice'!G$25,Resume!$A$2:$F$2,0)),"")</f>
        <v>Track mount drop stop steel zinc</v>
      </c>
      <c r="H31" s="1296"/>
      <c r="I31" s="182">
        <f>IFERROR(INDEX(Resume!$A$3:$F$215,MATCH(ROW($B4),Resume!$N$3:$N$215,0),MATCH('Commercial Invoice'!I$25,Resume!$A$2:$F$2,0)),"")</f>
        <v>1.7</v>
      </c>
      <c r="J31" s="180">
        <f t="shared" si="0"/>
        <v>40.799999999999997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IFERROR(INDEX(Resume!$A$3:$F$215,MATCH(ROW($B5),Resume!$N$3:$N$215,0),MATCH('Commercial Invoice'!C$25,Resume!$A$2:$F$2,0)),"")</f>
        <v>CHINA</v>
      </c>
      <c r="D32" s="181" t="str">
        <f>IFERROR(INDEX(Resume!$A$3:$F$215,MATCH(ROW($B5),Resume!$N$3:$N$215,0),MATCH('Commercial Invoice'!D$25,Resume!$A$2:$F$2,0)),"")</f>
        <v>7307.99.1000</v>
      </c>
      <c r="E32" s="181">
        <f>IFERROR(INDEX(Resume!$A$3:$F$215,MATCH(ROW($B5),Resume!$N$3:$N$215,0),MATCH('Commercial Invoice'!E$25,Resume!$A$2:$F$2,0)),"")</f>
        <v>154</v>
      </c>
      <c r="F32" s="181" t="str">
        <f>IFERROR(INDEX(Resume!$A$3:$F$215,MATCH(ROW($B5),Resume!$N$3:$N$215,0),MATCH('Commercial Invoice'!F$25,Resume!$A$2:$F$2,0)),"")</f>
        <v>H-1</v>
      </c>
      <c r="G32" s="1295" t="str">
        <f>IFERROR(INDEX(Resume!$A$3:$F$215,MATCH(ROW($B5),Resume!$N$3:$N$215,0),MATCH('Commercial Invoice'!G$25,Resume!$A$2:$F$2,0)),"")</f>
        <v>Standard tee joint steel black</v>
      </c>
      <c r="H32" s="1296"/>
      <c r="I32" s="182">
        <f>IFERROR(INDEX(Resume!$A$3:$F$215,MATCH(ROW($B5),Resume!$N$3:$N$215,0),MATCH('Commercial Invoice'!I$25,Resume!$A$2:$F$2,0)),"")</f>
        <v>0.55000000000000004</v>
      </c>
      <c r="J32" s="180">
        <f t="shared" si="0"/>
        <v>84.7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IFERROR(INDEX(Resume!$A$3:$F$215,MATCH(ROW($B6),Resume!$N$3:$N$215,0),MATCH('Commercial Invoice'!C$25,Resume!$A$2:$F$2,0)),"")</f>
        <v>CHINA</v>
      </c>
      <c r="D33" s="181" t="str">
        <f>IFERROR(INDEX(Resume!$A$3:$F$215,MATCH(ROW($B6),Resume!$N$3:$N$215,0),MATCH('Commercial Invoice'!D$25,Resume!$A$2:$F$2,0)),"")</f>
        <v>7307.99.1000</v>
      </c>
      <c r="E33" s="181">
        <f>IFERROR(INDEX(Resume!$A$3:$F$215,MATCH(ROW($B6),Resume!$N$3:$N$215,0),MATCH('Commercial Invoice'!E$25,Resume!$A$2:$F$2,0)),"")</f>
        <v>38</v>
      </c>
      <c r="F33" s="181" t="str">
        <f>IFERROR(INDEX(Resume!$A$3:$F$215,MATCH(ROW($B6),Resume!$N$3:$N$215,0),MATCH('Commercial Invoice'!F$25,Resume!$A$2:$F$2,0)),"")</f>
        <v>H-2</v>
      </c>
      <c r="G33" s="1295" t="str">
        <f>IFERROR(INDEX(Resume!$A$3:$F$215,MATCH(ROW($B6),Resume!$N$3:$N$215,0),MATCH('Commercial Invoice'!G$25,Resume!$A$2:$F$2,0)),"")</f>
        <v>Inner corner joint steel black</v>
      </c>
      <c r="H33" s="1296"/>
      <c r="I33" s="182">
        <f>IFERROR(INDEX(Resume!$A$3:$F$215,MATCH(ROW($B6),Resume!$N$3:$N$215,0),MATCH('Commercial Invoice'!I$25,Resume!$A$2:$F$2,0)),"")</f>
        <v>0.92</v>
      </c>
      <c r="J33" s="180">
        <f t="shared" si="0"/>
        <v>34.96</v>
      </c>
    </row>
    <row r="34" spans="1:12" ht="13.15" customHeight="1">
      <c r="A34" s="1"/>
      <c r="B34" s="1"/>
      <c r="C34" s="10" t="str">
        <f>IFERROR(INDEX(Resume!$A$3:$F$215,MATCH(ROW($B7),Resume!$N$3:$N$215,0),MATCH('Commercial Invoice'!C$25,Resume!$A$2:$F$2,0)),"")</f>
        <v>CHINA</v>
      </c>
      <c r="D34" s="181" t="str">
        <f>IFERROR(INDEX(Resume!$A$3:$F$215,MATCH(ROW($B7),Resume!$N$3:$N$215,0),MATCH('Commercial Invoice'!D$25,Resume!$A$2:$F$2,0)),"")</f>
        <v>7307.99.1000</v>
      </c>
      <c r="E34" s="181">
        <f>IFERROR(INDEX(Resume!$A$3:$F$215,MATCH(ROW($B7),Resume!$N$3:$N$215,0),MATCH('Commercial Invoice'!E$25,Resume!$A$2:$F$2,0)),"")</f>
        <v>32</v>
      </c>
      <c r="F34" s="181" t="str">
        <f>IFERROR(INDEX(Resume!$A$3:$F$215,MATCH(ROW($B7),Resume!$N$3:$N$215,0),MATCH('Commercial Invoice'!F$25,Resume!$A$2:$F$2,0)),"")</f>
        <v>H-3</v>
      </c>
      <c r="G34" s="1295" t="str">
        <f>IFERROR(INDEX(Resume!$A$3:$F$215,MATCH(ROW($B7),Resume!$N$3:$N$215,0),MATCH('Commercial Invoice'!G$25,Resume!$A$2:$F$2,0)),"")</f>
        <v>Outer corner joint steel black</v>
      </c>
      <c r="H34" s="1296"/>
      <c r="I34" s="182">
        <f>IFERROR(INDEX(Resume!$A$3:$F$215,MATCH(ROW($B7),Resume!$N$3:$N$215,0),MATCH('Commercial Invoice'!I$25,Resume!$A$2:$F$2,0)),"")</f>
        <v>0.95</v>
      </c>
      <c r="J34" s="180">
        <f t="shared" si="0"/>
        <v>30.4</v>
      </c>
      <c r="L34" s="13"/>
    </row>
    <row r="35" spans="1:12" s="23" customFormat="1" ht="13.15" customHeight="1">
      <c r="A35" s="3"/>
      <c r="B35" s="3"/>
      <c r="C35" s="10" t="str">
        <f>IFERROR(INDEX(Resume!$A$3:$F$215,MATCH(ROW($B8),Resume!$N$3:$N$215,0),MATCH('Commercial Invoice'!C$25,Resume!$A$2:$F$2,0)),"")</f>
        <v>CHINA</v>
      </c>
      <c r="D35" s="181" t="str">
        <f>IFERROR(INDEX(Resume!$A$3:$F$215,MATCH(ROW($B8),Resume!$N$3:$N$215,0),MATCH('Commercial Invoice'!D$25,Resume!$A$2:$F$2,0)),"")</f>
        <v>7307.99.1000</v>
      </c>
      <c r="E35" s="181">
        <f>IFERROR(INDEX(Resume!$A$3:$F$215,MATCH(ROW($B8),Resume!$N$3:$N$215,0),MATCH('Commercial Invoice'!E$25,Resume!$A$2:$F$2,0)),"")</f>
        <v>22</v>
      </c>
      <c r="F35" s="181" t="str">
        <f>IFERROR(INDEX(Resume!$A$3:$F$215,MATCH(ROW($B8),Resume!$N$3:$N$215,0),MATCH('Commercial Invoice'!F$25,Resume!$A$2:$F$2,0)),"")</f>
        <v>H-4</v>
      </c>
      <c r="G35" s="1295" t="str">
        <f>IFERROR(INDEX(Resume!$A$3:$F$215,MATCH(ROW($B8),Resume!$N$3:$N$215,0),MATCH('Commercial Invoice'!G$25,Resume!$A$2:$F$2,0)),"")</f>
        <v>Cross junction joint steel black</v>
      </c>
      <c r="H35" s="1296"/>
      <c r="I35" s="182">
        <f>IFERROR(INDEX(Resume!$A$3:$F$215,MATCH(ROW($B8),Resume!$N$3:$N$215,0),MATCH('Commercial Invoice'!I$25,Resume!$A$2:$F$2,0)),"")</f>
        <v>0.85</v>
      </c>
      <c r="J35" s="180">
        <f t="shared" si="0"/>
        <v>18.7</v>
      </c>
      <c r="L35" s="5"/>
    </row>
    <row r="36" spans="1:12" ht="13.15" customHeight="1">
      <c r="A36" s="1"/>
      <c r="B36" s="1"/>
      <c r="C36" s="10" t="str">
        <f>IFERROR(INDEX(Resume!$A$3:$F$215,MATCH(ROW($B9),Resume!$N$3:$N$215,0),MATCH('Commercial Invoice'!C$25,Resume!$A$2:$F$2,0)),"")</f>
        <v>CHINA</v>
      </c>
      <c r="D36" s="181" t="str">
        <f>IFERROR(INDEX(Resume!$A$3:$F$215,MATCH(ROW($B9),Resume!$N$3:$N$215,0),MATCH('Commercial Invoice'!D$25,Resume!$A$2:$F$2,0)),"")</f>
        <v>7307.99.1000</v>
      </c>
      <c r="E36" s="181">
        <f>IFERROR(INDEX(Resume!$A$3:$F$215,MATCH(ROW($B9),Resume!$N$3:$N$215,0),MATCH('Commercial Invoice'!E$25,Resume!$A$2:$F$2,0)),"")</f>
        <v>8</v>
      </c>
      <c r="F36" s="181" t="str">
        <f>IFERROR(INDEX(Resume!$A$3:$F$215,MATCH(ROW($B9),Resume!$N$3:$N$215,0),MATCH('Commercial Invoice'!F$25,Resume!$A$2:$F$2,0)),"")</f>
        <v>H-5</v>
      </c>
      <c r="G36" s="1295" t="str">
        <f>IFERROR(INDEX(Resume!$A$3:$F$215,MATCH(ROW($B9),Resume!$N$3:$N$215,0),MATCH('Commercial Invoice'!G$25,Resume!$A$2:$F$2,0)),"")</f>
        <v>Pivot point joint steel black</v>
      </c>
      <c r="H36" s="1296"/>
      <c r="I36" s="182">
        <f>IFERROR(INDEX(Resume!$A$3:$F$215,MATCH(ROW($B9),Resume!$N$3:$N$215,0),MATCH('Commercial Invoice'!I$25,Resume!$A$2:$F$2,0)),"")</f>
        <v>0.5</v>
      </c>
      <c r="J36" s="180">
        <f t="shared" si="0"/>
        <v>4</v>
      </c>
    </row>
    <row r="37" spans="1:12" ht="13.15" customHeight="1">
      <c r="A37" s="1"/>
      <c r="B37" s="1"/>
      <c r="C37" s="10" t="str">
        <f>IFERROR(INDEX(Resume!$A$3:$F$215,MATCH(ROW($B10),Resume!$N$3:$N$215,0),MATCH('Commercial Invoice'!C$25,Resume!$A$2:$F$2,0)),"")</f>
        <v>CHINA</v>
      </c>
      <c r="D37" s="181" t="str">
        <f>IFERROR(INDEX(Resume!$A$3:$F$215,MATCH(ROW($B10),Resume!$N$3:$N$215,0),MATCH('Commercial Invoice'!D$25,Resume!$A$2:$F$2,0)),"")</f>
        <v>7307.99.1000</v>
      </c>
      <c r="E37" s="181">
        <f>IFERROR(INDEX(Resume!$A$3:$F$215,MATCH(ROW($B10),Resume!$N$3:$N$215,0),MATCH('Commercial Invoice'!E$25,Resume!$A$2:$F$2,0)),"")</f>
        <v>8</v>
      </c>
      <c r="F37" s="181" t="str">
        <f>IFERROR(INDEX(Resume!$A$3:$F$215,MATCH(ROW($B10),Resume!$N$3:$N$215,0),MATCH('Commercial Invoice'!F$25,Resume!$A$2:$F$2,0)),"")</f>
        <v>H-6</v>
      </c>
      <c r="G37" s="1295" t="str">
        <f>IFERROR(INDEX(Resume!$A$3:$F$215,MATCH(ROW($B10),Resume!$N$3:$N$215,0),MATCH('Commercial Invoice'!G$25,Resume!$A$2:$F$2,0)),"")</f>
        <v>Pivot extension steel black</v>
      </c>
      <c r="H37" s="1296"/>
      <c r="I37" s="182">
        <f>IFERROR(INDEX(Resume!$A$3:$F$215,MATCH(ROW($B10),Resume!$N$3:$N$215,0),MATCH('Commercial Invoice'!I$25,Resume!$A$2:$F$2,0)),"")</f>
        <v>0.5</v>
      </c>
      <c r="J37" s="180">
        <f t="shared" si="0"/>
        <v>4</v>
      </c>
    </row>
    <row r="38" spans="1:12" ht="13.15" customHeight="1">
      <c r="A38" s="1"/>
      <c r="B38" s="1"/>
      <c r="C38" s="10" t="str">
        <f>IFERROR(INDEX(Resume!$A$3:$F$215,MATCH(ROW($B11),Resume!$N$3:$N$215,0),MATCH('Commercial Invoice'!C$25,Resume!$A$2:$F$2,0)),"")</f>
        <v>CHINA</v>
      </c>
      <c r="D38" s="181" t="str">
        <f>IFERROR(INDEX(Resume!$A$3:$F$215,MATCH(ROW($B11),Resume!$N$3:$N$215,0),MATCH('Commercial Invoice'!D$25,Resume!$A$2:$F$2,0)),"")</f>
        <v>7307.99.1000</v>
      </c>
      <c r="E38" s="181">
        <f>IFERROR(INDEX(Resume!$A$3:$F$215,MATCH(ROW($B11),Resume!$N$3:$N$215,0),MATCH('Commercial Invoice'!E$25,Resume!$A$2:$F$2,0)),"")</f>
        <v>18</v>
      </c>
      <c r="F38" s="181" t="str">
        <f>IFERROR(INDEX(Resume!$A$3:$F$215,MATCH(ROW($B11),Resume!$N$3:$N$215,0),MATCH('Commercial Invoice'!F$25,Resume!$A$2:$F$2,0)),"")</f>
        <v>H-9</v>
      </c>
      <c r="G38" s="1295" t="str">
        <f>IFERROR(INDEX(Resume!$A$3:$F$215,MATCH(ROW($B11),Resume!$N$3:$N$215,0),MATCH('Commercial Invoice'!G$25,Resume!$A$2:$F$2,0)),"")</f>
        <v>Flat anchor joint steel black</v>
      </c>
      <c r="H38" s="1296"/>
      <c r="I38" s="182">
        <f>IFERROR(INDEX(Resume!$A$3:$F$215,MATCH(ROW($B11),Resume!$N$3:$N$215,0),MATCH('Commercial Invoice'!I$25,Resume!$A$2:$F$2,0)),"")</f>
        <v>0.9</v>
      </c>
      <c r="J38" s="180">
        <f t="shared" si="0"/>
        <v>16.2</v>
      </c>
    </row>
    <row r="39" spans="1:12" ht="13.15" customHeight="1">
      <c r="A39" s="1"/>
      <c r="B39" s="1"/>
      <c r="C39" s="10" t="str">
        <f>IFERROR(INDEX(Resume!$A$3:$F$215,MATCH(ROW($B12),Resume!$N$3:$N$215,0),MATCH('Commercial Invoice'!C$25,Resume!$A$2:$F$2,0)),"")</f>
        <v>CHINA</v>
      </c>
      <c r="D39" s="181" t="str">
        <f>IFERROR(INDEX(Resume!$A$3:$F$215,MATCH(ROW($B12),Resume!$N$3:$N$215,0),MATCH('Commercial Invoice'!D$25,Resume!$A$2:$F$2,0)),"")</f>
        <v>7307.99.1000</v>
      </c>
      <c r="E39" s="181">
        <f>IFERROR(INDEX(Resume!$A$3:$F$215,MATCH(ROW($B12),Resume!$N$3:$N$215,0),MATCH('Commercial Invoice'!E$25,Resume!$A$2:$F$2,0)),"")</f>
        <v>10</v>
      </c>
      <c r="F39" s="181" t="str">
        <f>IFERROR(INDEX(Resume!$A$3:$F$215,MATCH(ROW($B12),Resume!$N$3:$N$215,0),MATCH('Commercial Invoice'!F$25,Resume!$A$2:$F$2,0)),"")</f>
        <v>H-12</v>
      </c>
      <c r="G39" s="1295" t="str">
        <f>IFERROR(INDEX(Resume!$A$3:$F$215,MATCH(ROW($B12),Resume!$N$3:$N$215,0),MATCH('Commercial Invoice'!G$25,Resume!$A$2:$F$2,0)),"")</f>
        <v>Tee hinge joint steel black</v>
      </c>
      <c r="H39" s="1296"/>
      <c r="I39" s="182">
        <f>IFERROR(INDEX(Resume!$A$3:$F$215,MATCH(ROW($B12),Resume!$N$3:$N$215,0),MATCH('Commercial Invoice'!I$25,Resume!$A$2:$F$2,0)),"")</f>
        <v>0.75</v>
      </c>
      <c r="J39" s="180">
        <f t="shared" si="0"/>
        <v>7.5</v>
      </c>
    </row>
    <row r="40" spans="1:12" ht="13.15" customHeight="1">
      <c r="A40" s="1"/>
      <c r="B40" s="1"/>
      <c r="C40" s="10" t="str">
        <f>IFERROR(INDEX(Resume!$A$3:$F$215,MATCH(ROW($B13),Resume!$N$3:$N$215,0),MATCH('Commercial Invoice'!C$25,Resume!$A$2:$F$2,0)),"")</f>
        <v>CHINA</v>
      </c>
      <c r="D40" s="181" t="str">
        <f>IFERROR(INDEX(Resume!$A$3:$F$215,MATCH(ROW($B13),Resume!$N$3:$N$215,0),MATCH('Commercial Invoice'!D$25,Resume!$A$2:$F$2,0)),"")</f>
        <v>7307.99.1000</v>
      </c>
      <c r="E40" s="181">
        <f>IFERROR(INDEX(Resume!$A$3:$F$215,MATCH(ROW($B13),Resume!$N$3:$N$215,0),MATCH('Commercial Invoice'!E$25,Resume!$A$2:$F$2,0)),"")</f>
        <v>22</v>
      </c>
      <c r="F40" s="181" t="str">
        <f>IFERROR(INDEX(Resume!$A$3:$F$215,MATCH(ROW($B13),Resume!$N$3:$N$215,0),MATCH('Commercial Invoice'!F$25,Resume!$A$2:$F$2,0)),"")</f>
        <v>H-13</v>
      </c>
      <c r="G40" s="1295" t="str">
        <f>IFERROR(INDEX(Resume!$A$3:$F$215,MATCH(ROW($B13),Resume!$N$3:$N$215,0),MATCH('Commercial Invoice'!G$25,Resume!$A$2:$F$2,0)),"")</f>
        <v>Parallel joint steel black</v>
      </c>
      <c r="H40" s="1296"/>
      <c r="I40" s="182">
        <f>IFERROR(INDEX(Resume!$A$3:$F$215,MATCH(ROW($B13),Resume!$N$3:$N$215,0),MATCH('Commercial Invoice'!I$25,Resume!$A$2:$F$2,0)),"")</f>
        <v>0.69</v>
      </c>
      <c r="J40" s="180">
        <f t="shared" si="0"/>
        <v>15.18</v>
      </c>
    </row>
    <row r="41" spans="1:12" ht="13.15" customHeight="1">
      <c r="A41" s="1"/>
      <c r="B41" s="1"/>
      <c r="C41" s="10" t="str">
        <f>IFERROR(INDEX(Resume!$A$3:$F$215,MATCH(ROW($B14),Resume!$N$3:$N$215,0),MATCH('Commercial Invoice'!C$25,Resume!$A$2:$F$2,0)),"")</f>
        <v>CHINA</v>
      </c>
      <c r="D41" s="181" t="str">
        <f>IFERROR(INDEX(Resume!$A$3:$F$215,MATCH(ROW($B14),Resume!$N$3:$N$215,0),MATCH('Commercial Invoice'!D$25,Resume!$A$2:$F$2,0)),"")</f>
        <v>7307.99.1000</v>
      </c>
      <c r="E41" s="181">
        <f>IFERROR(INDEX(Resume!$A$3:$F$215,MATCH(ROW($B14),Resume!$N$3:$N$215,0),MATCH('Commercial Invoice'!E$25,Resume!$A$2:$F$2,0)),"")</f>
        <v>2</v>
      </c>
      <c r="F41" s="181" t="str">
        <f>IFERROR(INDEX(Resume!$A$3:$F$215,MATCH(ROW($B14),Resume!$N$3:$N$215,0),MATCH('Commercial Invoice'!F$25,Resume!$A$2:$F$2,0)),"")</f>
        <v>H-15</v>
      </c>
      <c r="G41" s="1295" t="str">
        <f>IFERROR(INDEX(Resume!$A$3:$F$215,MATCH(ROW($B14),Resume!$N$3:$N$215,0),MATCH('Commercial Invoice'!G$25,Resume!$A$2:$F$2,0)),"")</f>
        <v>Upper clamp joint steel black</v>
      </c>
      <c r="H41" s="1296"/>
      <c r="I41" s="182">
        <f>IFERROR(INDEX(Resume!$A$3:$F$215,MATCH(ROW($B14),Resume!$N$3:$N$215,0),MATCH('Commercial Invoice'!I$25,Resume!$A$2:$F$2,0)),"")</f>
        <v>0.75</v>
      </c>
      <c r="J41" s="180">
        <f t="shared" si="0"/>
        <v>1.5</v>
      </c>
    </row>
    <row r="42" spans="1:12" ht="13.15" customHeight="1">
      <c r="A42" s="1"/>
      <c r="B42" s="1"/>
      <c r="C42" s="10" t="str">
        <f>IFERROR(INDEX(Resume!$A$3:$F$215,MATCH(ROW($B15),Resume!$N$3:$N$215,0),MATCH('Commercial Invoice'!C$25,Resume!$A$2:$F$2,0)),"")</f>
        <v>CHINA</v>
      </c>
      <c r="D42" s="181" t="str">
        <f>IFERROR(INDEX(Resume!$A$3:$F$215,MATCH(ROW($B15),Resume!$N$3:$N$215,0),MATCH('Commercial Invoice'!D$25,Resume!$A$2:$F$2,0)),"")</f>
        <v>7307.99.1000</v>
      </c>
      <c r="E42" s="181">
        <f>IFERROR(INDEX(Resume!$A$3:$F$215,MATCH(ROW($B15),Resume!$N$3:$N$215,0),MATCH('Commercial Invoice'!E$25,Resume!$A$2:$F$2,0)),"")</f>
        <v>2</v>
      </c>
      <c r="F42" s="181" t="str">
        <f>IFERROR(INDEX(Resume!$A$3:$F$215,MATCH(ROW($B15),Resume!$N$3:$N$215,0),MATCH('Commercial Invoice'!F$25,Resume!$A$2:$F$2,0)),"")</f>
        <v>H-16</v>
      </c>
      <c r="G42" s="1295" t="str">
        <f>IFERROR(INDEX(Resume!$A$3:$F$215,MATCH(ROW($B15),Resume!$N$3:$N$215,0),MATCH('Commercial Invoice'!G$25,Resume!$A$2:$F$2,0)),"")</f>
        <v>Lower clamp joint steel black</v>
      </c>
      <c r="H42" s="1296"/>
      <c r="I42" s="182">
        <f>IFERROR(INDEX(Resume!$A$3:$F$215,MATCH(ROW($B15),Resume!$N$3:$N$215,0),MATCH('Commercial Invoice'!I$25,Resume!$A$2:$F$2,0)),"")</f>
        <v>0.75</v>
      </c>
      <c r="J42" s="180">
        <f t="shared" si="0"/>
        <v>1.5</v>
      </c>
      <c r="L42" s="13"/>
    </row>
    <row r="43" spans="1:12" ht="13.15" customHeight="1">
      <c r="A43" s="1"/>
      <c r="B43" s="1"/>
      <c r="C43" s="10" t="str">
        <f>IFERROR(INDEX(Resume!$A$3:$F$215,MATCH(ROW($B16),Resume!$N$3:$N$215,0),MATCH('Commercial Invoice'!C$25,Resume!$A$2:$F$2,0)),"")</f>
        <v>CHINA</v>
      </c>
      <c r="D43" s="181" t="str">
        <f>IFERROR(INDEX(Resume!$A$3:$F$215,MATCH(ROW($B16),Resume!$N$3:$N$215,0),MATCH('Commercial Invoice'!D$25,Resume!$A$2:$F$2,0)),"")</f>
        <v>7307.99.1000</v>
      </c>
      <c r="E43" s="181">
        <f>IFERROR(INDEX(Resume!$A$3:$F$215,MATCH(ROW($B16),Resume!$N$3:$N$215,0),MATCH('Commercial Invoice'!E$25,Resume!$A$2:$F$2,0)),"")</f>
        <v>4</v>
      </c>
      <c r="F43" s="181" t="str">
        <f>IFERROR(INDEX(Resume!$A$3:$F$215,MATCH(ROW($B16),Resume!$N$3:$N$215,0),MATCH('Commercial Invoice'!F$25,Resume!$A$2:$F$2,0)),"")</f>
        <v>H-23</v>
      </c>
      <c r="G43" s="1295" t="str">
        <f>IFERROR(INDEX(Resume!$A$3:$F$215,MATCH(ROW($B16),Resume!$N$3:$N$215,0),MATCH('Commercial Invoice'!G$25,Resume!$A$2:$F$2,0)),"")</f>
        <v>Parallel hinge joint steel black</v>
      </c>
      <c r="H43" s="1296"/>
      <c r="I43" s="182">
        <f>IFERROR(INDEX(Resume!$A$3:$F$215,MATCH(ROW($B16),Resume!$N$3:$N$215,0),MATCH('Commercial Invoice'!I$25,Resume!$A$2:$F$2,0)),"")</f>
        <v>0.8</v>
      </c>
      <c r="J43" s="180">
        <f t="shared" si="0"/>
        <v>3.2</v>
      </c>
    </row>
    <row r="44" spans="1:12" ht="13.15" customHeight="1">
      <c r="A44" s="1"/>
      <c r="B44" s="1"/>
      <c r="C44" s="10" t="str">
        <f>IFERROR(INDEX(Resume!$A$3:$F$215,MATCH(ROW($B17),Resume!$N$3:$N$215,0),MATCH('Commercial Invoice'!C$25,Resume!$A$2:$F$2,0)),"")</f>
        <v>CHINA</v>
      </c>
      <c r="D44" s="181" t="str">
        <f>IFERROR(INDEX(Resume!$A$3:$F$215,MATCH(ROW($B17),Resume!$N$3:$N$215,0),MATCH('Commercial Invoice'!D$25,Resume!$A$2:$F$2,0)),"")</f>
        <v>9403.90.5080</v>
      </c>
      <c r="E44" s="181">
        <f>IFERROR(INDEX(Resume!$A$3:$F$215,MATCH(ROW($B17),Resume!$N$3:$N$215,0),MATCH('Commercial Invoice'!E$25,Resume!$A$2:$F$2,0)),"")</f>
        <v>34</v>
      </c>
      <c r="F44" s="181" t="str">
        <f>IFERROR(INDEX(Resume!$A$3:$F$215,MATCH(ROW($B17),Resume!$N$3:$N$215,0),MATCH('Commercial Invoice'!F$25,Resume!$A$2:$F$2,0)),"")</f>
        <v>AP-ICAP</v>
      </c>
      <c r="G44" s="1295" t="str">
        <f>IFERROR(INDEX(Resume!$A$3:$F$215,MATCH(ROW($B17),Resume!$N$3:$N$215,0),MATCH('Commercial Invoice'!G$25,Resume!$A$2:$F$2,0)),"")</f>
        <v>End cap plastic bk</v>
      </c>
      <c r="H44" s="1296"/>
      <c r="I44" s="182">
        <f>IFERROR(INDEX(Resume!$A$3:$F$215,MATCH(ROW($B17),Resume!$N$3:$N$215,0),MATCH('Commercial Invoice'!I$25,Resume!$A$2:$F$2,0)),"")</f>
        <v>0.11</v>
      </c>
      <c r="J44" s="180">
        <f t="shared" si="0"/>
        <v>3.74</v>
      </c>
    </row>
    <row r="45" spans="1:12" ht="13.15" customHeight="1">
      <c r="A45" s="1"/>
      <c r="B45" s="1"/>
      <c r="C45" s="10" t="str">
        <f>IFERROR(INDEX(Resume!$A$3:$F$215,MATCH(ROW($B18),Resume!$N$3:$N$215,0),MATCH('Commercial Invoice'!C$25,Resume!$A$2:$F$2,0)),"")</f>
        <v>CHINA</v>
      </c>
      <c r="D45" s="181" t="str">
        <f>IFERROR(INDEX(Resume!$A$3:$F$215,MATCH(ROW($B18),Resume!$N$3:$N$215,0),MATCH('Commercial Invoice'!D$25,Resume!$A$2:$F$2,0)),"")</f>
        <v>9403.90.8041</v>
      </c>
      <c r="E45" s="181">
        <f>IFERROR(INDEX(Resume!$A$3:$F$215,MATCH(ROW($B18),Resume!$N$3:$N$215,0),MATCH('Commercial Invoice'!E$25,Resume!$A$2:$F$2,0)),"")</f>
        <v>8</v>
      </c>
      <c r="F45" s="181" t="str">
        <f>IFERROR(INDEX(Resume!$A$3:$F$215,MATCH(ROW($B18),Resume!$N$3:$N$215,0),MATCH('Commercial Invoice'!F$25,Resume!$A$2:$F$2,0)),"")</f>
        <v>AP-HINGE</v>
      </c>
      <c r="G45" s="1295" t="str">
        <f>IFERROR(INDEX(Resume!$A$3:$F$215,MATCH(ROW($B18),Resume!$N$3:$N$215,0),MATCH('Commercial Invoice'!G$25,Resume!$A$2:$F$2,0)),"")</f>
        <v>Pipe connector ss steel zinc</v>
      </c>
      <c r="H45" s="1296"/>
      <c r="I45" s="182">
        <f>IFERROR(INDEX(Resume!$A$3:$F$215,MATCH(ROW($B18),Resume!$N$3:$N$215,0),MATCH('Commercial Invoice'!I$25,Resume!$A$2:$F$2,0)),"")</f>
        <v>0.25</v>
      </c>
      <c r="J45" s="180">
        <f t="shared" si="0"/>
        <v>2</v>
      </c>
    </row>
    <row r="46" spans="1:12" ht="13.15" customHeight="1">
      <c r="A46" s="1"/>
      <c r="B46" s="1"/>
      <c r="C46" s="10" t="str">
        <f>IFERROR(INDEX(Resume!$A$3:$F$215,MATCH(ROW($B19),Resume!$N$3:$N$215,0),MATCH('Commercial Invoice'!C$25,Resume!$A$2:$F$2,0)),"")</f>
        <v>CHINA</v>
      </c>
      <c r="D46" s="181" t="str">
        <f>IFERROR(INDEX(Resume!$A$3:$F$215,MATCH(ROW($B19),Resume!$N$3:$N$215,0),MATCH('Commercial Invoice'!D$25,Resume!$A$2:$F$2,0)),"")</f>
        <v>9403.90.8041</v>
      </c>
      <c r="E46" s="181">
        <f>IFERROR(INDEX(Resume!$A$3:$F$215,MATCH(ROW($B19),Resume!$N$3:$N$215,0),MATCH('Commercial Invoice'!E$25,Resume!$A$2:$F$2,0)),"")</f>
        <v>4</v>
      </c>
      <c r="F46" s="181" t="str">
        <f>IFERROR(INDEX(Resume!$A$3:$F$215,MATCH(ROW($B19),Resume!$N$3:$N$215,0),MATCH('Commercial Invoice'!F$25,Resume!$A$2:$F$2,0)),"")</f>
        <v>AF-ILEV</v>
      </c>
      <c r="G46" s="1295" t="str">
        <f>IFERROR(INDEX(Resume!$A$3:$F$215,MATCH(ROW($B19),Resume!$N$3:$N$215,0),MATCH('Commercial Invoice'!G$25,Resume!$A$2:$F$2,0)),"")</f>
        <v>Adjust. inner foot steel zinc</v>
      </c>
      <c r="H46" s="1296"/>
      <c r="I46" s="182">
        <f>IFERROR(INDEX(Resume!$A$3:$F$215,MATCH(ROW($B19),Resume!$N$3:$N$215,0),MATCH('Commercial Invoice'!I$25,Resume!$A$2:$F$2,0)),"")</f>
        <v>2.25</v>
      </c>
      <c r="J46" s="180">
        <f t="shared" si="0"/>
        <v>9</v>
      </c>
    </row>
    <row r="47" spans="1:12" ht="13.15" customHeight="1">
      <c r="A47" s="1"/>
      <c r="B47" s="1"/>
      <c r="C47" s="10" t="str">
        <f>IFERROR(INDEX(Resume!$A$3:$F$215,MATCH(ROW($B20),Resume!$N$3:$N$215,0),MATCH('Commercial Invoice'!C$25,Resume!$A$2:$F$2,0)),"")</f>
        <v>CHINA</v>
      </c>
      <c r="D47" s="181" t="str">
        <f>IFERROR(INDEX(Resume!$A$3:$F$215,MATCH(ROW($B20),Resume!$N$3:$N$215,0),MATCH('Commercial Invoice'!D$25,Resume!$A$2:$F$2,0)),"")</f>
        <v>9403.90.8041</v>
      </c>
      <c r="E47" s="181">
        <f>IFERROR(INDEX(Resume!$A$3:$F$215,MATCH(ROW($B20),Resume!$N$3:$N$215,0),MATCH('Commercial Invoice'!E$25,Resume!$A$2:$F$2,0)),"")</f>
        <v>4</v>
      </c>
      <c r="F47" s="181" t="str">
        <f>IFERROR(INDEX(Resume!$A$3:$F$215,MATCH(ROW($B20),Resume!$N$3:$N$215,0),MATCH('Commercial Invoice'!F$25,Resume!$A$2:$F$2,0)),"")</f>
        <v>AF-OLEV</v>
      </c>
      <c r="G47" s="1295" t="str">
        <f>IFERROR(INDEX(Resume!$A$3:$F$215,MATCH(ROW($B20),Resume!$N$3:$N$215,0),MATCH('Commercial Invoice'!G$25,Resume!$A$2:$F$2,0)),"")</f>
        <v>Adjust. outer foot steel zinc</v>
      </c>
      <c r="H47" s="1296"/>
      <c r="I47" s="182">
        <f>IFERROR(INDEX(Resume!$A$3:$F$215,MATCH(ROW($B20),Resume!$N$3:$N$215,0),MATCH('Commercial Invoice'!I$25,Resume!$A$2:$F$2,0)),"")</f>
        <v>2.25</v>
      </c>
      <c r="J47" s="180">
        <f t="shared" si="0"/>
        <v>9</v>
      </c>
    </row>
    <row r="48" spans="1:12" ht="13.15" customHeight="1">
      <c r="A48" s="1"/>
      <c r="B48" s="1"/>
      <c r="C48" s="10" t="str">
        <f>IFERROR(INDEX(Resume!$A$3:$F$215,MATCH(ROW($B21),Resume!$N$3:$N$215,0),MATCH('Commercial Invoice'!C$25,Resume!$A$2:$F$2,0)),"")</f>
        <v>CHINA</v>
      </c>
      <c r="D48" s="181" t="str">
        <f>IFERROR(INDEX(Resume!$A$3:$F$215,MATCH(ROW($B21),Resume!$N$3:$N$215,0),MATCH('Commercial Invoice'!D$25,Resume!$A$2:$F$2,0)),"")</f>
        <v>9403.90.5080</v>
      </c>
      <c r="E48" s="181">
        <f>IFERROR(INDEX(Resume!$A$3:$F$215,MATCH(ROW($B21),Resume!$N$3:$N$215,0),MATCH('Commercial Invoice'!E$25,Resume!$A$2:$F$2,0)),"")</f>
        <v>54</v>
      </c>
      <c r="F48" s="181" t="str">
        <f>IFERROR(INDEX(Resume!$A$3:$F$215,MATCH(ROW($B21),Resume!$N$3:$N$215,0),MATCH('Commercial Invoice'!F$25,Resume!$A$2:$F$2,0)),"")</f>
        <v>AO-SHIM</v>
      </c>
      <c r="G48" s="1295" t="str">
        <f>IFERROR(INDEX(Resume!$A$3:$F$215,MATCH(ROW($B21),Resume!$N$3:$N$215,0),MATCH('Commercial Invoice'!G$25,Resume!$A$2:$F$2,0)),"")</f>
        <v>Leveling shim plastic bk</v>
      </c>
      <c r="H48" s="1296"/>
      <c r="I48" s="182">
        <f>IFERROR(INDEX(Resume!$A$3:$F$215,MATCH(ROW($B21),Resume!$N$3:$N$215,0),MATCH('Commercial Invoice'!I$25,Resume!$A$2:$F$2,0)),"")</f>
        <v>0.15</v>
      </c>
      <c r="J48" s="180">
        <f t="shared" si="0"/>
        <v>8.1</v>
      </c>
    </row>
    <row r="49" spans="1:13" ht="13.15" customHeight="1">
      <c r="A49" s="1"/>
      <c r="B49" s="1"/>
      <c r="C49" s="10" t="str">
        <f>IFERROR(INDEX(Resume!$A$3:$F$215,MATCH(ROW($B22),Resume!$N$3:$N$215,0),MATCH('Commercial Invoice'!C$25,Resume!$A$2:$F$2,0)),"")</f>
        <v>CHINA</v>
      </c>
      <c r="D49" s="181" t="str">
        <f>IFERROR(INDEX(Resume!$A$3:$F$215,MATCH(ROW($B22),Resume!$N$3:$N$215,0),MATCH('Commercial Invoice'!D$25,Resume!$A$2:$F$2,0)),"")</f>
        <v>9403.90.8041</v>
      </c>
      <c r="E49" s="181">
        <f>IFERROR(INDEX(Resume!$A$3:$F$215,MATCH(ROW($B22),Resume!$N$3:$N$215,0),MATCH('Commercial Invoice'!E$25,Resume!$A$2:$F$2,0)),"")</f>
        <v>30</v>
      </c>
      <c r="F49" s="181" t="str">
        <f>IFERROR(INDEX(Resume!$A$3:$F$215,MATCH(ROW($B22),Resume!$N$3:$N$215,0),MATCH('Commercial Invoice'!F$25,Resume!$A$2:$F$2,0)),"")</f>
        <v>AO-EMT1</v>
      </c>
      <c r="G49" s="1295" t="str">
        <f>IFERROR(INDEX(Resume!$A$3:$F$215,MATCH(ROW($B22),Resume!$N$3:$N$215,0),MATCH('Commercial Invoice'!G$25,Resume!$A$2:$F$2,0)),"")</f>
        <v>Pipe clamp single steel zinc</v>
      </c>
      <c r="H49" s="1296"/>
      <c r="I49" s="182">
        <f>IFERROR(INDEX(Resume!$A$3:$F$215,MATCH(ROW($B22),Resume!$N$3:$N$215,0),MATCH('Commercial Invoice'!I$25,Resume!$A$2:$F$2,0)),"")</f>
        <v>0.18</v>
      </c>
      <c r="J49" s="180">
        <f t="shared" si="0"/>
        <v>5.3999999999999995</v>
      </c>
      <c r="L49" s="13"/>
    </row>
    <row r="50" spans="1:13" ht="13.15" customHeight="1">
      <c r="A50" s="1"/>
      <c r="B50" s="1"/>
      <c r="C50" s="10" t="str">
        <f>IFERROR(INDEX(Resume!$A$3:$F$215,MATCH(ROW($B23),Resume!$N$3:$N$215,0),MATCH('Commercial Invoice'!C$25,Resume!$A$2:$F$2,0)),"")</f>
        <v>CHINA</v>
      </c>
      <c r="D50" s="181" t="str">
        <f>IFERROR(INDEX(Resume!$A$3:$F$215,MATCH(ROW($B23),Resume!$N$3:$N$215,0),MATCH('Commercial Invoice'!D$25,Resume!$A$2:$F$2,0)),"")</f>
        <v>9403.90.8041</v>
      </c>
      <c r="E50" s="181">
        <f>IFERROR(INDEX(Resume!$A$3:$F$215,MATCH(ROW($B23),Resume!$N$3:$N$215,0),MATCH('Commercial Invoice'!E$25,Resume!$A$2:$F$2,0)),"")</f>
        <v>10</v>
      </c>
      <c r="F50" s="181" t="str">
        <f>IFERROR(INDEX(Resume!$A$3:$F$215,MATCH(ROW($B23),Resume!$N$3:$N$215,0),MATCH('Commercial Invoice'!F$25,Resume!$A$2:$F$2,0)),"")</f>
        <v>AO-EMT2</v>
      </c>
      <c r="G50" s="1295" t="str">
        <f>IFERROR(INDEX(Resume!$A$3:$F$215,MATCH(ROW($B23),Resume!$N$3:$N$215,0),MATCH('Commercial Invoice'!G$25,Resume!$A$2:$F$2,0)),"")</f>
        <v>Pipe clamp double steel zinc</v>
      </c>
      <c r="H50" s="1296"/>
      <c r="I50" s="182">
        <f>IFERROR(INDEX(Resume!$A$3:$F$215,MATCH(ROW($B23),Resume!$N$3:$N$215,0),MATCH('Commercial Invoice'!I$25,Resume!$A$2:$F$2,0)),"")</f>
        <v>0.18</v>
      </c>
      <c r="J50" s="180">
        <f t="shared" si="0"/>
        <v>1.7999999999999998</v>
      </c>
      <c r="L50" s="13"/>
    </row>
    <row r="51" spans="1:13" ht="13.15" customHeight="1">
      <c r="A51" s="1"/>
      <c r="B51" s="1"/>
      <c r="C51" s="10" t="str">
        <f>IFERROR(INDEX(Resume!$A$3:$F$215,MATCH(ROW($B24),Resume!$N$3:$N$215,0),MATCH('Commercial Invoice'!C$25,Resume!$A$2:$F$2,0)),"")</f>
        <v>CHINA</v>
      </c>
      <c r="D51" s="181" t="str">
        <f>IFERROR(INDEX(Resume!$A$3:$F$215,MATCH(ROW($B24),Resume!$N$3:$N$215,0),MATCH('Commercial Invoice'!D$25,Resume!$A$2:$F$2,0)),"")</f>
        <v>9403.90.8041</v>
      </c>
      <c r="E51" s="181">
        <f>IFERROR(INDEX(Resume!$A$3:$F$215,MATCH(ROW($B24),Resume!$N$3:$N$215,0),MATCH('Commercial Invoice'!E$25,Resume!$A$2:$F$2,0)),"")</f>
        <v>1</v>
      </c>
      <c r="F51" s="181" t="str">
        <f>IFERROR(INDEX(Resume!$A$3:$F$215,MATCH(ROW($B24),Resume!$N$3:$N$215,0),MATCH('Commercial Invoice'!F$25,Resume!$A$2:$F$2,0)),"")</f>
        <v>AS-REST</v>
      </c>
      <c r="G51" s="1295" t="str">
        <f>IFERROR(INDEX(Resume!$A$3:$F$215,MATCH(ROW($B24),Resume!$N$3:$N$215,0),MATCH('Commercial Invoice'!G$25,Resume!$A$2:$F$2,0)),"")</f>
        <v>Pipe rest steel zinc</v>
      </c>
      <c r="H51" s="1296"/>
      <c r="I51" s="182">
        <f>IFERROR(INDEX(Resume!$A$3:$F$215,MATCH(ROW($B24),Resume!$N$3:$N$215,0),MATCH('Commercial Invoice'!I$25,Resume!$A$2:$F$2,0)),"")</f>
        <v>2.25</v>
      </c>
      <c r="J51" s="180">
        <f t="shared" si="0"/>
        <v>2.25</v>
      </c>
      <c r="L51" s="13"/>
    </row>
    <row r="52" spans="1:13" ht="13.15" customHeight="1">
      <c r="A52" s="1"/>
      <c r="B52" s="1"/>
      <c r="C52" s="10" t="str">
        <f>IFERROR(INDEX(Resume!$A$3:$F$215,MATCH(ROW($B25),Resume!$N$3:$N$215,0),MATCH('Commercial Invoice'!C$25,Resume!$A$2:$F$2,0)),"")</f>
        <v>CHINA</v>
      </c>
      <c r="D52" s="181" t="str">
        <f>IFERROR(INDEX(Resume!$A$3:$F$215,MATCH(ROW($B25),Resume!$N$3:$N$215,0),MATCH('Commercial Invoice'!D$25,Resume!$A$2:$F$2,0)),"")</f>
        <v>9403.90.8041</v>
      </c>
      <c r="E52" s="181">
        <f>IFERROR(INDEX(Resume!$A$3:$F$215,MATCH(ROW($B25),Resume!$N$3:$N$215,0),MATCH('Commercial Invoice'!E$25,Resume!$A$2:$F$2,0)),"")</f>
        <v>1</v>
      </c>
      <c r="F52" s="181" t="str">
        <f>IFERROR(INDEX(Resume!$A$3:$F$215,MATCH(ROW($B25),Resume!$N$3:$N$215,0),MATCH('Commercial Invoice'!F$25,Resume!$A$2:$F$2,0)),"")</f>
        <v>AW-HOLDER</v>
      </c>
      <c r="G52" s="1295" t="str">
        <f>IFERROR(INDEX(Resume!$A$3:$F$215,MATCH(ROW($B25),Resume!$N$3:$N$215,0),MATCH('Commercial Invoice'!G$25,Resume!$A$2:$F$2,0)),"")</f>
        <v>Tool holder steel zinc</v>
      </c>
      <c r="H52" s="1296"/>
      <c r="I52" s="182">
        <f>IFERROR(INDEX(Resume!$A$3:$F$215,MATCH(ROW($B25),Resume!$N$3:$N$215,0),MATCH('Commercial Invoice'!I$25,Resume!$A$2:$F$2,0)),"")</f>
        <v>7</v>
      </c>
      <c r="J52" s="180">
        <f t="shared" si="0"/>
        <v>7</v>
      </c>
      <c r="L52" s="13"/>
    </row>
    <row r="53" spans="1:13" ht="13.15" customHeight="1">
      <c r="A53" s="1"/>
      <c r="B53" s="1"/>
      <c r="C53" s="10" t="str">
        <f>IFERROR(INDEX(Resume!$A$3:$F$215,MATCH(ROW($B26),Resume!$N$3:$N$215,0),MATCH('Commercial Invoice'!C$25,Resume!$A$2:$F$2,0)),"")</f>
        <v>MEXICO</v>
      </c>
      <c r="D53" s="181" t="str">
        <f>IFERROR(INDEX(Resume!$A$3:$F$215,MATCH(ROW($B26),Resume!$N$3:$N$215,0),MATCH('Commercial Invoice'!D$25,Resume!$A$2:$F$2,0)),"")</f>
        <v>9403.90.8041</v>
      </c>
      <c r="E53" s="181">
        <f>IFERROR(INDEX(Resume!$A$3:$F$215,MATCH(ROW($B26),Resume!$N$3:$N$215,0),MATCH('Commercial Invoice'!E$25,Resume!$A$2:$F$2,0)),"")</f>
        <v>1</v>
      </c>
      <c r="F53" s="181" t="str">
        <f>IFERROR(INDEX(Resume!$A$3:$F$215,MATCH(ROW($B26),Resume!$N$3:$N$215,0),MATCH('Commercial Invoice'!F$25,Resume!$A$2:$F$2,0)),"")</f>
        <v>FL-COU14-100LBS</v>
      </c>
      <c r="G53" s="1295" t="str">
        <f>IFERROR(INDEX(Resume!$A$3:$F$215,MATCH(ROW($B26),Resume!$N$3:$N$215,0),MATCH('Commercial Invoice'!G$25,Resume!$A$2:$F$2,0)),"")</f>
        <v>14" pair drawer slides steel zn</v>
      </c>
      <c r="H53" s="1296"/>
      <c r="I53" s="182">
        <f>IFERROR(INDEX(Resume!$A$3:$F$215,MATCH(ROW($B26),Resume!$N$3:$N$215,0),MATCH('Commercial Invoice'!I$25,Resume!$A$2:$F$2,0)),"")</f>
        <v>18</v>
      </c>
      <c r="J53" s="180">
        <f t="shared" si="0"/>
        <v>18</v>
      </c>
    </row>
    <row r="54" spans="1:13" ht="13.15" customHeight="1">
      <c r="A54" s="1"/>
      <c r="B54" s="1"/>
      <c r="C54" s="10" t="str">
        <f>IFERROR(INDEX(Resume!$A$3:$F$215,MATCH(ROW($B27),Resume!$N$3:$N$215,0),MATCH('Commercial Invoice'!C$25,Resume!$A$2:$F$2,0)),"")</f>
        <v>CHINA</v>
      </c>
      <c r="D54" s="181" t="str">
        <f>IFERROR(INDEX(Resume!$A$3:$F$215,MATCH(ROW($B27),Resume!$N$3:$N$215,0),MATCH('Commercial Invoice'!D$25,Resume!$A$2:$F$2,0)),"")</f>
        <v>9403.90.8041</v>
      </c>
      <c r="E54" s="181">
        <f>IFERROR(INDEX(Resume!$A$3:$F$215,MATCH(ROW($B27),Resume!$N$3:$N$215,0),MATCH('Commercial Invoice'!E$25,Resume!$A$2:$F$2,0)),"")</f>
        <v>6</v>
      </c>
      <c r="F54" s="181" t="str">
        <f>IFERROR(INDEX(Resume!$A$3:$F$215,MATCH(ROW($B27),Resume!$N$3:$N$215,0),MATCH('Commercial Invoice'!F$25,Resume!$A$2:$F$2,0)),"")</f>
        <v>FL-COU-U</v>
      </c>
      <c r="G54" s="1295" t="str">
        <f>IFERROR(INDEX(Resume!$A$3:$F$215,MATCH(ROW($B27),Resume!$N$3:$N$215,0),MATCH('Commercial Invoice'!G$25,Resume!$A$2:$F$2,0)),"")</f>
        <v>Slides bracket steel zinc</v>
      </c>
      <c r="H54" s="1296"/>
      <c r="I54" s="182">
        <f>IFERROR(INDEX(Resume!$A$3:$F$215,MATCH(ROW($B27),Resume!$N$3:$N$215,0),MATCH('Commercial Invoice'!I$25,Resume!$A$2:$F$2,0)),"")</f>
        <v>0.5</v>
      </c>
      <c r="J54" s="180">
        <f t="shared" si="0"/>
        <v>3</v>
      </c>
      <c r="L54" s="25"/>
      <c r="M54" s="25"/>
    </row>
    <row r="55" spans="1:13" ht="13.15" customHeight="1">
      <c r="A55" s="1"/>
      <c r="B55" s="1"/>
      <c r="C55" s="10" t="str">
        <f>IFERROR(INDEX(Resume!$A$3:$F$215,MATCH(ROW($B28),Resume!$N$3:$N$215,0),MATCH('Commercial Invoice'!C$25,Resume!$A$2:$F$2,0)),"")</f>
        <v>CHINA</v>
      </c>
      <c r="D55" s="181" t="str">
        <f>IFERROR(INDEX(Resume!$A$3:$F$215,MATCH(ROW($B28),Resume!$N$3:$N$215,0),MATCH('Commercial Invoice'!D$25,Resume!$A$2:$F$2,0)),"")</f>
        <v>9403.90.8041</v>
      </c>
      <c r="E55" s="181">
        <f>IFERROR(INDEX(Resume!$A$3:$F$215,MATCH(ROW($B28),Resume!$N$3:$N$215,0),MATCH('Commercial Invoice'!E$25,Resume!$A$2:$F$2,0)),"")</f>
        <v>2</v>
      </c>
      <c r="F55" s="181" t="str">
        <f>IFERROR(INDEX(Resume!$A$3:$F$215,MATCH(ROW($B28),Resume!$N$3:$N$215,0),MATCH('Commercial Invoice'!F$25,Resume!$A$2:$F$2,0)),"")</f>
        <v>AW-ROLLER</v>
      </c>
      <c r="G55" s="1295" t="str">
        <f>IFERROR(INDEX(Resume!$A$3:$F$215,MATCH(ROW($B28),Resume!$N$3:$N$215,0),MATCH('Commercial Invoice'!G$25,Resume!$A$2:$F$2,0)),"")</f>
        <v>Roller double hook steel zinc</v>
      </c>
      <c r="H55" s="1296"/>
      <c r="I55" s="182">
        <f>IFERROR(INDEX(Resume!$A$3:$F$215,MATCH(ROW($B28),Resume!$N$3:$N$215,0),MATCH('Commercial Invoice'!I$25,Resume!$A$2:$F$2,0)),"")</f>
        <v>7</v>
      </c>
      <c r="J55" s="180">
        <f t="shared" si="0"/>
        <v>14</v>
      </c>
      <c r="L55" s="25"/>
      <c r="M55" s="25"/>
    </row>
    <row r="56" spans="1:13" ht="13.15" customHeight="1">
      <c r="A56" s="1"/>
      <c r="B56" s="1"/>
      <c r="C56" s="10" t="str">
        <f>IFERROR(INDEX(Resume!$A$3:$F$215,MATCH(ROW($B29),Resume!$N$3:$N$215,0),MATCH('Commercial Invoice'!C$25,Resume!$A$2:$F$2,0)),"")</f>
        <v>USA</v>
      </c>
      <c r="D56" s="181" t="str">
        <f>IFERROR(INDEX(Resume!$A$3:$F$215,MATCH(ROW($B29),Resume!$N$3:$N$215,0),MATCH('Commercial Invoice'!D$25,Resume!$A$2:$F$2,0)),"")</f>
        <v>3920.10.0000</v>
      </c>
      <c r="E56" s="181">
        <f>IFERROR(INDEX(Resume!$A$3:$F$215,MATCH(ROW($B29),Resume!$N$3:$N$215,0),MATCH('Commercial Invoice'!E$25,Resume!$A$2:$F$2,0)),"")</f>
        <v>2</v>
      </c>
      <c r="F56" s="181" t="str">
        <f>IFERROR(INDEX(Resume!$A$3:$F$215,MATCH(ROW($B29),Resume!$N$3:$N$215,0),MATCH('Commercial Invoice'!F$25,Resume!$A$2:$F$2,0)),"")</f>
        <v>D-HDPEW-481/2</v>
      </c>
      <c r="G56" s="1295" t="str">
        <f>IFERROR(INDEX(Resume!$A$3:$F$215,MATCH(ROW($B29),Resume!$N$3:$N$215,0),MATCH('Commercial Invoice'!G$25,Resume!$A$2:$F$2,0)),"")</f>
        <v>White HDPE plastic 4X8X1/2''</v>
      </c>
      <c r="H56" s="1296"/>
      <c r="I56" s="182">
        <f>IFERROR(INDEX(Resume!$A$3:$F$215,MATCH(ROW($B29),Resume!$N$3:$N$215,0),MATCH('Commercial Invoice'!I$25,Resume!$A$2:$F$2,0)),"")</f>
        <v>170</v>
      </c>
      <c r="J56" s="180">
        <f t="shared" ref="J56" si="1">IFERROR(I56*E56,"")</f>
        <v>340</v>
      </c>
      <c r="L56" s="25"/>
      <c r="M56" s="25"/>
    </row>
    <row r="57" spans="1:13" ht="13.15" customHeight="1">
      <c r="A57" s="1"/>
      <c r="B57" s="1"/>
      <c r="C57" s="10" t="str">
        <f>IFERROR(INDEX(Resume!$A$3:$F$215,MATCH(ROW($B29),Resume!$N$3:$N$215,0),MATCH('Commercial Invoice'!C$25,Resume!$A$2:$F$2,0)),"")</f>
        <v>USA</v>
      </c>
      <c r="D57" s="181" t="str">
        <f>IFERROR(INDEX(Resume!$A$3:$F$215,MATCH(ROW($B29),Resume!$N$3:$N$215,0),MATCH('Commercial Invoice'!D$25,Resume!$A$2:$F$2,0)),"")</f>
        <v>3920.10.0000</v>
      </c>
      <c r="E57" s="181">
        <f>IFERROR(INDEX(Resume!$A$3:$F$215,MATCH(ROW($B29),Resume!$N$3:$N$215,0),MATCH('Commercial Invoice'!E$25,Resume!$A$2:$F$2,0)),"")</f>
        <v>2</v>
      </c>
      <c r="F57" s="181" t="str">
        <f>IFERROR(INDEX(Resume!$A$3:$F$215,MATCH(ROW($B29),Resume!$N$3:$N$215,0),MATCH('Commercial Invoice'!F$25,Resume!$A$2:$F$2,0)),"")</f>
        <v>D-HDPEW-481/2</v>
      </c>
      <c r="G57" s="1295" t="str">
        <f>IFERROR(INDEX(Resume!$A$3:$F$215,MATCH(ROW($B29),Resume!$N$3:$N$215,0),MATCH('Commercial Invoice'!G$25,Resume!$A$2:$F$2,0)),"")</f>
        <v>White HDPE plastic 4X8X1/2''</v>
      </c>
      <c r="H57" s="1296"/>
      <c r="I57" s="182">
        <f>IFERROR(INDEX(Resume!$A$3:$F$215,MATCH(ROW($B29),Resume!$N$3:$N$215,0),MATCH('Commercial Invoice'!I$25,Resume!$A$2:$F$2,0)),"")</f>
        <v>170</v>
      </c>
      <c r="J57" s="180">
        <f t="shared" si="0"/>
        <v>340</v>
      </c>
      <c r="L57" s="25"/>
      <c r="M57" s="25"/>
    </row>
    <row r="58" spans="1:13" ht="13.15" customHeight="1">
      <c r="A58" s="1"/>
      <c r="B58" s="1"/>
      <c r="C58" s="10" t="str">
        <f>IFERROR(INDEX(Resume!$A$3:$F$215,MATCH(ROW($B30),Resume!$N$3:$N$215,0),MATCH('Commercial Invoice'!C$25,Resume!$A$2:$F$2,0)),"")</f>
        <v>USA</v>
      </c>
      <c r="D58" s="181" t="str">
        <f>IFERROR(INDEX(Resume!$A$3:$F$215,MATCH(ROW($B30),Resume!$N$3:$N$215,0),MATCH('Commercial Invoice'!D$25,Resume!$A$2:$F$2,0)),"")</f>
        <v>3920.10.0000</v>
      </c>
      <c r="E58" s="181">
        <f>IFERROR(INDEX(Resume!$A$3:$F$215,MATCH(ROW($B30),Resume!$N$3:$N$215,0),MATCH('Commercial Invoice'!E$25,Resume!$A$2:$F$2,0)),"")</f>
        <v>2</v>
      </c>
      <c r="F58" s="181" t="str">
        <f>IFERROR(INDEX(Resume!$A$3:$F$215,MATCH(ROW($B30),Resume!$N$3:$N$215,0),MATCH('Commercial Invoice'!F$25,Resume!$A$2:$F$2,0)),"")</f>
        <v>D-HDPEW-481/4</v>
      </c>
      <c r="G58" s="1295" t="str">
        <f>IFERROR(INDEX(Resume!$A$3:$F$215,MATCH(ROW($B30),Resume!$N$3:$N$215,0),MATCH('Commercial Invoice'!G$25,Resume!$A$2:$F$2,0)),"")</f>
        <v>White HDPE plastic 4X8X1/4''</v>
      </c>
      <c r="H58" s="1296"/>
      <c r="I58" s="182">
        <f>IFERROR(INDEX(Resume!$A$3:$F$215,MATCH(ROW($B30),Resume!$N$3:$N$215,0),MATCH('Commercial Invoice'!I$25,Resume!$A$2:$F$2,0)),"")</f>
        <v>100</v>
      </c>
      <c r="J58" s="180">
        <f t="shared" si="0"/>
        <v>200</v>
      </c>
      <c r="L58" s="25"/>
      <c r="M58" s="25"/>
    </row>
    <row r="59" spans="1:13" ht="13.15" customHeight="1">
      <c r="A59" s="1"/>
      <c r="B59" s="1"/>
      <c r="C59" s="10" t="str">
        <f>IFERROR(INDEX(Resume!$A$3:$F$215,MATCH(ROW($B29),Resume!$N$3:$N$215,0),MATCH('Commercial Invoice'!C$25,Resume!$A$2:$F$2,0)),"")</f>
        <v>USA</v>
      </c>
      <c r="D59" s="181" t="str">
        <f>IFERROR(INDEX(Resume!$A$3:$F$215,MATCH(ROW($B29),Resume!$N$3:$N$215,0),MATCH('Commercial Invoice'!D$25,Resume!$A$2:$F$2,0)),"")</f>
        <v>3920.10.0000</v>
      </c>
      <c r="E59" s="181">
        <f>IFERROR(INDEX(Resume!$A$3:$F$215,MATCH(ROW($B29),Resume!$N$3:$N$215,0),MATCH('Commercial Invoice'!E$25,Resume!$A$2:$F$2,0)),"")</f>
        <v>2</v>
      </c>
      <c r="F59" s="181" t="str">
        <f>IFERROR(INDEX(Resume!$A$3:$F$215,MATCH(ROW($B29),Resume!$N$3:$N$215,0),MATCH('Commercial Invoice'!F$25,Resume!$A$2:$F$2,0)),"")</f>
        <v>D-HDPEW-481/2</v>
      </c>
      <c r="G59" s="1295" t="str">
        <f>IFERROR(INDEX(Resume!$A$3:$F$215,MATCH(ROW($B29),Resume!$N$3:$N$215,0),MATCH('Commercial Invoice'!G$25,Resume!$A$2:$F$2,0)),"")</f>
        <v>White HDPE plastic 4X8X1/2''</v>
      </c>
      <c r="H59" s="1296"/>
      <c r="I59" s="182">
        <f>IFERROR(INDEX(Resume!$A$3:$F$215,MATCH(ROW($B29),Resume!$N$3:$N$215,0),MATCH('Commercial Invoice'!I$25,Resume!$A$2:$F$2,0)),"")</f>
        <v>170</v>
      </c>
      <c r="J59" s="180">
        <f t="shared" si="0"/>
        <v>340</v>
      </c>
      <c r="L59" s="25"/>
      <c r="M59" s="25"/>
    </row>
    <row r="60" spans="1:13" ht="13.15" customHeight="1">
      <c r="A60" s="1"/>
      <c r="B60" s="1"/>
      <c r="C60" s="10" t="str">
        <f>IFERROR(INDEX(Resume!$A$3:$F$215,MATCH(ROW($B30),Resume!$N$3:$N$215,0),MATCH('Commercial Invoice'!C$25,Resume!$A$2:$F$2,0)),"")</f>
        <v>USA</v>
      </c>
      <c r="D60" s="181" t="str">
        <f>IFERROR(INDEX(Resume!$A$3:$F$215,MATCH(ROW($B30),Resume!$N$3:$N$215,0),MATCH('Commercial Invoice'!D$25,Resume!$A$2:$F$2,0)),"")</f>
        <v>3920.10.0000</v>
      </c>
      <c r="E60" s="181">
        <f>IFERROR(INDEX(Resume!$A$3:$F$215,MATCH(ROW($B30),Resume!$N$3:$N$215,0),MATCH('Commercial Invoice'!E$25,Resume!$A$2:$F$2,0)),"")</f>
        <v>2</v>
      </c>
      <c r="F60" s="181" t="str">
        <f>IFERROR(INDEX(Resume!$A$3:$F$215,MATCH(ROW($B30),Resume!$N$3:$N$215,0),MATCH('Commercial Invoice'!F$25,Resume!$A$2:$F$2,0)),"")</f>
        <v>D-HDPEW-481/4</v>
      </c>
      <c r="G60" s="1295" t="str">
        <f>IFERROR(INDEX(Resume!$A$3:$F$215,MATCH(ROW($B30),Resume!$N$3:$N$215,0),MATCH('Commercial Invoice'!G$25,Resume!$A$2:$F$2,0)),"")</f>
        <v>White HDPE plastic 4X8X1/4''</v>
      </c>
      <c r="H60" s="1296"/>
      <c r="I60" s="182">
        <f>IFERROR(INDEX(Resume!$A$3:$F$215,MATCH(ROW($B30),Resume!$N$3:$N$215,0),MATCH('Commercial Invoice'!I$25,Resume!$A$2:$F$2,0)),"")</f>
        <v>100</v>
      </c>
      <c r="J60" s="180">
        <f t="shared" si="0"/>
        <v>200</v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2207.5300000000002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2207.5300000000002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340</v>
      </c>
    </row>
    <row r="46" spans="1:14">
      <c r="A46" t="s">
        <v>341</v>
      </c>
    </row>
    <row r="47" spans="1:14">
      <c r="A47" t="s">
        <v>342</v>
      </c>
    </row>
    <row r="48" spans="1:14">
      <c r="A48" t="s">
        <v>343</v>
      </c>
    </row>
    <row r="49" spans="1:14">
      <c r="A49" t="s">
        <v>344</v>
      </c>
    </row>
    <row r="50" spans="1:14">
      <c r="A50" t="s">
        <v>345</v>
      </c>
    </row>
    <row r="51" spans="1:14">
      <c r="A51" t="s">
        <v>346</v>
      </c>
    </row>
    <row r="52" spans="1:14">
      <c r="A52" t="s">
        <v>347</v>
      </c>
    </row>
    <row r="53" spans="1:14">
      <c r="A53" t="s">
        <v>348</v>
      </c>
    </row>
    <row r="54" spans="1:14">
      <c r="A54" t="s">
        <v>349</v>
      </c>
    </row>
    <row r="55" spans="1:14">
      <c r="A55" t="s">
        <v>350</v>
      </c>
    </row>
    <row r="56" spans="1:14">
      <c r="A56" t="s">
        <v>333</v>
      </c>
      <c r="D56" s="162">
        <v>1</v>
      </c>
      <c r="E56" t="s">
        <v>332</v>
      </c>
    </row>
    <row r="57" spans="1:14" ht="4.9000000000000004" customHeight="1">
      <c r="D57" s="126"/>
    </row>
    <row r="58" spans="1:14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>
      <c r="N65" s="153" t="s">
        <v>331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2019-05-23T15:45:04Z</cp:lastPrinted>
  <dcterms:created xsi:type="dcterms:W3CDTF">2009-08-12T21:40:25Z</dcterms:created>
  <dcterms:modified xsi:type="dcterms:W3CDTF">2019-05-24T17:54:59Z</dcterms:modified>
</cp:coreProperties>
</file>