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CAD\"/>
    </mc:Choice>
  </mc:AlternateContent>
  <workbookProtection workbookPassword="C6C1" lockStructure="1"/>
  <bookViews>
    <workbookView xWindow="28680" yWindow="-120" windowWidth="29040" windowHeight="15840" activeTab="1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62913"/>
</workbook>
</file>

<file path=xl/calcChain.xml><?xml version="1.0" encoding="utf-8"?>
<calcChain xmlns="http://schemas.openxmlformats.org/spreadsheetml/2006/main">
  <c r="F27" i="3" l="1"/>
  <c r="F26" i="3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F25" i="3"/>
  <c r="E25" i="3"/>
  <c r="D25" i="3"/>
  <c r="C25" i="3"/>
  <c r="L25" i="3" s="1"/>
  <c r="M24" i="3"/>
  <c r="M25" i="3"/>
  <c r="I25" i="3"/>
  <c r="F24" i="3"/>
  <c r="G24" i="3" s="1"/>
  <c r="E24" i="3"/>
  <c r="D24" i="3"/>
  <c r="C24" i="3"/>
  <c r="L24" i="3" s="1"/>
  <c r="G25" i="3" l="1"/>
  <c r="G26" i="3"/>
  <c r="I24" i="3"/>
  <c r="L27" i="3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D190" i="3"/>
  <c r="C190" i="3"/>
  <c r="I190" i="3" s="1"/>
  <c r="K189" i="3"/>
  <c r="I191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1" i="3"/>
  <c r="G61" i="3" s="1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54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0" i="4"/>
  <c r="B51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I13" i="3" l="1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G49" i="4" l="1"/>
  <c r="O13" i="3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8" i="3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O28" i="3"/>
  <c r="Y574" i="2" s="1"/>
  <c r="O110" i="3"/>
  <c r="Y576" i="2" s="1"/>
  <c r="O89" i="3"/>
  <c r="Y575" i="2" s="1"/>
  <c r="O4" i="3"/>
  <c r="Y572" i="2" s="1"/>
  <c r="L234" i="3"/>
  <c r="I233" i="3"/>
  <c r="D54" i="4" s="1"/>
  <c r="L235" i="3"/>
  <c r="L236" i="3"/>
  <c r="N50" i="3" l="1"/>
  <c r="N69" i="3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51" i="4"/>
  <c r="E238" i="3" s="1"/>
  <c r="D243" i="3"/>
  <c r="F243" i="3" s="1"/>
  <c r="D239" i="3"/>
  <c r="F239" i="3" s="1"/>
  <c r="G239" i="3" s="1"/>
  <c r="D242" i="3"/>
  <c r="F242" i="3" s="1"/>
  <c r="N91" i="3" l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90" i="3"/>
  <c r="C229" i="3"/>
  <c r="F229" i="3"/>
  <c r="G240" i="3"/>
  <c r="G241" i="3" s="1"/>
  <c r="G242" i="3" s="1"/>
  <c r="G243" i="3" s="1"/>
  <c r="G244" i="3" s="1"/>
  <c r="D245" i="3"/>
  <c r="N175" i="3" l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G229" i="3"/>
  <c r="G233" i="3" s="1"/>
  <c r="D53" i="4"/>
  <c r="C53" i="4" s="1"/>
  <c r="D52" i="4"/>
  <c r="H21" i="5" s="1"/>
  <c r="N186" i="3" l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C52" i="4"/>
  <c r="N230" i="3" l="1"/>
  <c r="N231" i="3" s="1"/>
  <c r="D49" i="4"/>
  <c r="C32" i="5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41" i="4"/>
  <c r="B21" i="4"/>
  <c r="B33" i="4"/>
  <c r="D39" i="4"/>
  <c r="D38" i="4"/>
  <c r="C20" i="4"/>
  <c r="D31" i="4"/>
  <c r="B24" i="4"/>
  <c r="B27" i="4"/>
  <c r="C48" i="4"/>
  <c r="B36" i="4"/>
  <c r="D21" i="4"/>
  <c r="B47" i="4"/>
  <c r="F31" i="4"/>
  <c r="F46" i="4"/>
  <c r="F34" i="4"/>
  <c r="F37" i="4"/>
  <c r="C40" i="4"/>
  <c r="B40" i="4"/>
  <c r="B38" i="4"/>
  <c r="C32" i="4"/>
  <c r="F45" i="4"/>
  <c r="C36" i="4"/>
  <c r="F44" i="4"/>
  <c r="C24" i="4"/>
  <c r="B39" i="4"/>
  <c r="B44" i="4"/>
  <c r="D29" i="4"/>
  <c r="D42" i="4"/>
  <c r="F33" i="4"/>
  <c r="F28" i="4"/>
  <c r="F25" i="4"/>
  <c r="D48" i="4"/>
  <c r="F27" i="4"/>
  <c r="C47" i="4"/>
  <c r="F40" i="4"/>
  <c r="F35" i="4"/>
  <c r="B32" i="4"/>
  <c r="D44" i="4"/>
  <c r="B28" i="4"/>
  <c r="B23" i="4"/>
  <c r="F26" i="4"/>
  <c r="C34" i="4"/>
  <c r="C37" i="4"/>
  <c r="C22" i="4"/>
  <c r="F23" i="4"/>
  <c r="B31" i="4"/>
  <c r="B29" i="4"/>
  <c r="B42" i="4"/>
  <c r="D34" i="4"/>
  <c r="C45" i="4"/>
  <c r="D27" i="4"/>
  <c r="D35" i="4"/>
  <c r="C38" i="4"/>
  <c r="C27" i="4"/>
  <c r="F48" i="4"/>
  <c r="F24" i="4"/>
  <c r="D22" i="4"/>
  <c r="C21" i="4"/>
  <c r="D45" i="4"/>
  <c r="C42" i="4"/>
  <c r="D28" i="4"/>
  <c r="B35" i="4"/>
  <c r="D30" i="4"/>
  <c r="F21" i="4"/>
  <c r="B48" i="4"/>
  <c r="C35" i="4"/>
  <c r="F42" i="4"/>
  <c r="C25" i="4"/>
  <c r="D33" i="4"/>
  <c r="F38" i="4"/>
  <c r="C31" i="4"/>
  <c r="D23" i="4"/>
  <c r="F29" i="4"/>
  <c r="D25" i="4"/>
  <c r="C46" i="4"/>
  <c r="C44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40" i="4"/>
  <c r="B46" i="4"/>
  <c r="D41" i="4"/>
  <c r="C26" i="4"/>
  <c r="F36" i="4"/>
  <c r="F30" i="4"/>
  <c r="C28" i="4"/>
  <c r="B34" i="4"/>
  <c r="B45" i="4"/>
  <c r="F47" i="4"/>
  <c r="F43" i="4"/>
  <c r="B30" i="4"/>
  <c r="D36" i="4"/>
  <c r="F22" i="4"/>
  <c r="F41" i="4"/>
  <c r="B37" i="4"/>
  <c r="D47" i="4"/>
  <c r="G41" i="4" l="1"/>
  <c r="G21" i="4"/>
  <c r="G43" i="4"/>
  <c r="G22" i="4"/>
  <c r="G47" i="4"/>
  <c r="G33" i="4"/>
  <c r="G29" i="4"/>
  <c r="G32" i="4"/>
  <c r="G35" i="4"/>
  <c r="G25" i="4"/>
  <c r="G46" i="4"/>
  <c r="G23" i="4"/>
  <c r="G44" i="4"/>
  <c r="G27" i="4"/>
  <c r="G28" i="4"/>
  <c r="G40" i="4"/>
  <c r="G31" i="4"/>
  <c r="G30" i="4"/>
  <c r="G42" i="4"/>
  <c r="G48" i="4"/>
  <c r="G26" i="4"/>
  <c r="G45" i="4"/>
  <c r="G37" i="4"/>
  <c r="G36" i="4"/>
  <c r="G20" i="4"/>
  <c r="G38" i="4"/>
  <c r="G34" i="4"/>
  <c r="G24" i="4"/>
  <c r="J61" i="5"/>
  <c r="J62" i="5" s="1"/>
  <c r="J63" i="5" s="1"/>
  <c r="G50" i="4" l="1"/>
  <c r="G51" i="4"/>
  <c r="G52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8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<sst xmlns="http://schemas.openxmlformats.org/spreadsheetml/2006/main" count="1871" uniqueCount="981">
  <si>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</si>
  <si>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</si>
  <si>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</si>
  <si>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</si>
  <si>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</si>
  <si>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</si>
  <si>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</si>
  <si>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</si>
  <si>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</si>
  <si>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</si>
  <si>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</si>
  <si>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</si>
  <si>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</si>
  <si>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</si>
  <si>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</si>
  <si>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</si>
  <si>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</si>
  <si>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</si>
  <si>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</si>
  <si>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</si>
  <si>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</si>
  <si>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</si>
  <si>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</si>
  <si>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</si>
  <si>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</si>
  <si>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</si>
  <si>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</si>
  <si>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</si>
  <si>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</si>
  <si>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</si>
  <si>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</si>
  <si>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</si>
  <si>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</si>
  <si>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</si>
  <si>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</si>
  <si>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</si>
  <si>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</si>
  <si>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</si>
  <si>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</si>
  <si>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</si>
  <si>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</si>
  <si>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</si>
  <si>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</si>
  <si>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</si>
  <si>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</si>
  <si>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</si>
  <si>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</si>
  <si>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</si>
  <si>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</si>
  <si>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</si>
  <si>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</si>
  <si>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</si>
  <si>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</si>
  <si>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</si>
  <si>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</si>
  <si>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</si>
  <si>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</si>
  <si>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</si>
  <si>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</si>
  <si>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</si>
  <si>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</si>
  <si>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</si>
  <si>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</si>
  <si>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</si>
  <si>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</si>
  <si>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</si>
  <si>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</si>
  <si>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</si>
  <si>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</si>
  <si>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</si>
  <si>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</si>
  <si>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</si>
  <si>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</si>
  <si>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</si>
  <si>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</si>
  <si>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</si>
  <si>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</si>
  <si>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</si>
  <si>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</si>
  <si>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</si>
  <si>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</si>
  <si>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</si>
  <si>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</si>
  <si>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</si>
  <si>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</si>
  <si>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</si>
  <si>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</si>
  <si>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</si>
  <si>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</si>
  <si>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</si>
  <si>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</si>
  <si>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</si>
  <si>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</si>
  <si>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</si>
  <si>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</si>
  <si>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</si>
  <si>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</si>
  <si>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</si>
  <si>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</si>
  <si>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</si>
  <si>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</si>
  <si>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</si>
  <si>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</si>
  <si>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</si>
  <si>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</si>
  <si>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</si>
  <si>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</si>
  <si>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</si>
  <si>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</si>
  <si>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</si>
  <si>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</si>
  <si>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</si>
  <si>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</si>
  <si>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</si>
  <si>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</si>
  <si>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</si>
  <si>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</si>
  <si>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</si>
  <si>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</si>
  <si>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</si>
  <si>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</si>
  <si>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</si>
  <si>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</si>
  <si>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</si>
  <si>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</si>
  <si>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</si>
  <si>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</si>
  <si>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</si>
  <si>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</si>
  <si>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</si>
  <si>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</si>
  <si>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</si>
  <si>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</si>
  <si>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</si>
  <si>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</si>
  <si>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</si>
  <si>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</si>
  <si>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</si>
  <si>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</si>
  <si>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</si>
  <si>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</si>
  <si>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</si>
  <si>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</si>
  <si>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</si>
  <si>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</si>
  <si>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</si>
  <si>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</si>
  <si>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</si>
  <si>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</si>
  <si>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</si>
  <si>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</si>
  <si>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</si>
  <si>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</si>
  <si>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</si>
  <si>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</si>
  <si>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</si>
  <si>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</si>
  <si>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</si>
  <si>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</si>
  <si>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</si>
  <si>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</si>
  <si>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</si>
  <si>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</si>
  <si>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</si>
  <si>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</si>
  <si>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</si>
  <si>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</si>
  <si>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</si>
  <si>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</si>
  <si>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</si>
  <si>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</si>
  <si>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</si>
  <si>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</si>
  <si>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</si>
  <si>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</si>
  <si>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</si>
  <si>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</si>
  <si>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</si>
  <si>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</si>
  <si>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</si>
  <si>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</si>
  <si>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</si>
  <si>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</si>
  <si>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</si>
  <si>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</si>
  <si>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</si>
  <si>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</si>
  <si>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</si>
  <si>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</si>
  <si>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</si>
  <si>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</si>
  <si>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</si>
  <si>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</si>
  <si>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</si>
  <si>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</si>
  <si>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</si>
  <si>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</si>
  <si>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</si>
  <si>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</si>
  <si>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</si>
  <si>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</si>
  <si>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</si>
  <si>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</si>
  <si>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</si>
  <si>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</si>
  <si>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</si>
  <si>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</si>
  <si>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</si>
  <si>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</si>
  <si>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</si>
  <si>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</si>
  <si>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</si>
  <si>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</si>
  <si>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</si>
  <si>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</si>
  <si>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</si>
  <si>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</si>
  <si>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</si>
  <si>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</si>
  <si>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</si>
  <si>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</si>
  <si>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</si>
  <si>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</si>
  <si>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</si>
  <si>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</si>
  <si>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</si>
  <si>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</si>
  <si>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</si>
  <si>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</si>
  <si>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</si>
  <si>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</si>
  <si>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</si>
  <si>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</si>
  <si>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</si>
  <si>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</si>
  <si>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</si>
  <si>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</si>
  <si>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</si>
  <si>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</si>
  <si>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</si>
  <si>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</si>
  <si>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</si>
  <si>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</si>
  <si>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</si>
  <si>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</si>
  <si>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</si>
  <si>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</si>
  <si>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</si>
  <si>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</si>
  <si>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</si>
  <si>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</si>
  <si>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</si>
  <si>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</si>
  <si>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</si>
  <si>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</si>
  <si>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</si>
  <si>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</si>
  <si>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</si>
  <si>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</si>
  <si>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</si>
  <si>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</si>
  <si>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</si>
  <si>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</si>
  <si>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</si>
  <si>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</si>
  <si>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</si>
  <si>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</si>
  <si>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</si>
  <si>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</si>
  <si>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</si>
  <si>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</si>
  <si>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</si>
  <si>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</si>
  <si>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</si>
  <si>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</si>
  <si>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</si>
  <si>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</si>
  <si>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</si>
  <si>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</si>
  <si>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</si>
  <si>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</si>
  <si>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</si>
  <si>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</si>
  <si>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</si>
  <si>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</si>
  <si>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</si>
  <si>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</si>
  <si>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</si>
  <si>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</si>
  <si>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</si>
  <si>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</si>
  <si>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</si>
  <si>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</si>
  <si>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</si>
  <si>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</si>
  <si>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</si>
  <si>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</si>
  <si>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</si>
  <si>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</si>
  <si>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</si>
  <si>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</si>
  <si>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</si>
  <si>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</si>
  <si>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</si>
  <si>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</si>
  <si>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</si>
  <si>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</si>
  <si>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</si>
  <si>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</si>
  <si>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</si>
  <si>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</si>
  <si>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</si>
  <si>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</si>
  <si>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</si>
  <si>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</si>
  <si>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</si>
  <si>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</si>
  <si>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</si>
  <si>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</si>
  <si>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</si>
  <si>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</si>
  <si>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</si>
  <si>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</si>
  <si>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</si>
  <si>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</si>
  <si>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</si>
  <si>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</si>
  <si>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</si>
  <si>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</si>
  <si>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</si>
  <si>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</si>
  <si>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</si>
  <si>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</si>
  <si>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</si>
  <si>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</si>
  <si>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</si>
  <si>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</si>
  <si>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</si>
  <si>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</si>
  <si>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</si>
  <si>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</si>
  <si>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</si>
  <si>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</si>
  <si>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</si>
  <si>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</si>
  <si>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</si>
  <si>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</si>
  <si>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</si>
  <si>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</si>
  <si>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</si>
  <si>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</si>
  <si>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</si>
  <si>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</si>
  <si>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</si>
  <si>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</si>
  <si>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</si>
  <si>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</si>
  <si>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</si>
  <si>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</si>
  <si>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</si>
  <si>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</si>
  <si>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</si>
  <si>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</si>
  <si>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</si>
  <si>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</si>
  <si>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</si>
  <si>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</si>
  <si>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</si>
  <si>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</si>
  <si>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</si>
  <si>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</si>
  <si>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</si>
  <si>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</si>
  <si>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</si>
  <si>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</si>
  <si>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</si>
  <si>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</si>
  <si>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</si>
  <si>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</si>
  <si>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</si>
  <si>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</si>
  <si>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</si>
  <si>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</si>
  <si>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</si>
  <si>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</si>
  <si>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</si>
  <si>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</si>
  <si>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</si>
  <si>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</si>
  <si>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</si>
  <si>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</si>
  <si>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</si>
  <si>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</si>
  <si>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</si>
  <si>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</si>
  <si>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</si>
  <si>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</si>
  <si>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</si>
  <si>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</si>
  <si>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</si>
  <si>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</si>
  <si>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</si>
  <si>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</si>
  <si>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</si>
  <si>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</si>
  <si>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</si>
  <si>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</si>
  <si>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</si>
  <si>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</si>
  <si>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</si>
  <si>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</si>
  <si>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</si>
  <si>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</si>
  <si>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</si>
  <si>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</si>
  <si>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</si>
  <si>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</si>
  <si>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</si>
  <si>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</si>
  <si>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</si>
  <si>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</si>
  <si>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</si>
  <si>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</si>
  <si>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</si>
  <si>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</si>
  <si>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</si>
  <si>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</si>
  <si>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</si>
  <si>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</si>
  <si>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</si>
  <si>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</si>
  <si>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</si>
  <si>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</si>
  <si>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</si>
  <si>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</si>
  <si>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</si>
  <si>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</si>
  <si>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</si>
  <si>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</si>
  <si>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</si>
  <si>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</si>
  <si>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</si>
  <si>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</si>
  <si>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</si>
  <si>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</si>
  <si>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</si>
  <si>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</si>
  <si>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</si>
  <si>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</si>
  <si>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</si>
  <si>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</si>
  <si>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</si>
  <si>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</si>
  <si>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</si>
  <si>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</si>
  <si>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</si>
  <si>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</si>
  <si>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</si>
  <si>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</si>
  <si>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</si>
  <si>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</si>
  <si>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</si>
  <si>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</si>
  <si>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</si>
  <si>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</si>
  <si>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</si>
  <si>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</si>
  <si>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</si>
  <si>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</si>
  <si>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</si>
  <si>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</si>
  <si>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</si>
  <si>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</si>
  <si>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</si>
  <si>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</si>
  <si>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</si>
  <si>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</si>
  <si>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</si>
  <si>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</si>
  <si>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</si>
  <si>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</si>
  <si>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</si>
  <si>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</si>
  <si>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</si>
  <si>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</si>
  <si>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</si>
  <si>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</si>
  <si>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</si>
  <si>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</si>
  <si>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</si>
  <si>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</si>
  <si>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</si>
  <si>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</si>
  <si>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</si>
  <si>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</si>
  <si>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</si>
  <si>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</si>
  <si>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</si>
  <si>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</si>
  <si>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</si>
  <si>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</si>
  <si>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</si>
  <si>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</si>
  <si>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</si>
  <si>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</si>
  <si>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</si>
  <si>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</si>
  <si>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</si>
  <si>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</si>
  <si>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</si>
  <si>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</si>
  <si>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</si>
  <si>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</si>
  <si>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</si>
  <si>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</si>
  <si>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</si>
  <si>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</si>
  <si>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</si>
  <si>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</si>
  <si>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</si>
  <si>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</si>
  <si>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</si>
  <si>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</si>
  <si>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</si>
  <si>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</si>
  <si>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</si>
  <si>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</si>
  <si>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</si>
  <si>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</si>
  <si>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</si>
  <si>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</si>
  <si>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</si>
  <si>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</si>
  <si>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</si>
  <si>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</si>
  <si>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</si>
  <si>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</si>
  <si>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</si>
  <si>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</si>
  <si>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</si>
  <si>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</si>
  <si>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</si>
  <si>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</si>
  <si>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</si>
  <si>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</si>
  <si>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</si>
  <si>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</si>
  <si>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</si>
  <si>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</si>
  <si>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</si>
  <si>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</si>
  <si>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</si>
  <si>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</si>
  <si>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</si>
  <si>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</si>
  <si>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</si>
  <si>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</si>
  <si>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</si>
  <si>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</si>
  <si>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</si>
  <si>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</si>
  <si>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</si>
  <si>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</si>
  <si>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</si>
  <si>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</si>
  <si>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</si>
  <si>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</si>
  <si>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</si>
  <si>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</si>
  <si>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</si>
  <si>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</si>
  <si>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</si>
  <si>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</si>
  <si>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</si>
  <si>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</si>
  <si>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</si>
  <si>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</si>
  <si>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</si>
  <si>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</si>
  <si>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</si>
  <si>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</si>
  <si>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</si>
  <si>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</si>
  <si>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</si>
  <si>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</si>
  <si>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</si>
  <si>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</si>
  <si>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</si>
  <si>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</si>
  <si>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</si>
  <si>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</si>
  <si>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</si>
  <si>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</si>
  <si>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</si>
  <si>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</si>
  <si>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</si>
  <si>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</si>
  <si>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</si>
  <si>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</si>
  <si>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</si>
  <si>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</si>
  <si>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</si>
  <si>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</si>
  <si>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</si>
  <si>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</si>
  <si>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</si>
  <si>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</si>
  <si>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</si>
  <si>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</si>
  <si>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</si>
  <si>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</si>
  <si>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</si>
  <si>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</si>
  <si>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</si>
  <si>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</si>
  <si>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</si>
  <si>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</si>
  <si>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</si>
  <si>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</si>
  <si>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</si>
  <si>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</si>
  <si>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</si>
  <si>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</si>
  <si>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</si>
  <si>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</si>
  <si>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</si>
  <si>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</si>
  <si>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</si>
  <si>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</si>
  <si>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</si>
  <si>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</si>
  <si>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</si>
  <si>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</si>
  <si>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</si>
  <si>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</si>
  <si>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</si>
  <si>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</si>
  <si>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</si>
  <si>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</si>
  <si>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</si>
  <si>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</si>
  <si>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</si>
  <si>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</si>
  <si>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</si>
  <si>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</si>
  <si>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</si>
  <si>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</si>
  <si>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</si>
  <si>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</si>
  <si>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</si>
  <si>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</si>
  <si>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</si>
  <si>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</si>
  <si>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</si>
  <si>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</si>
  <si>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</si>
  <si>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</si>
  <si>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</si>
  <si>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</si>
  <si>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</si>
  <si>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</si>
  <si>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</si>
  <si>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</si>
  <si>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</si>
  <si>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</si>
  <si>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</si>
  <si>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</si>
  <si>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</si>
  <si>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</si>
  <si>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</si>
  <si>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</si>
  <si>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</si>
  <si>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</si>
  <si>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</si>
  <si>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</si>
  <si>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</si>
  <si>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</si>
  <si>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</si>
  <si>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</si>
  <si>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</si>
  <si>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</si>
  <si>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</si>
  <si>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</si>
  <si>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</si>
  <si>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</si>
  <si>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</si>
  <si>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</si>
  <si>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</si>
  <si>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</si>
  <si>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</si>
  <si>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</si>
  <si>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</si>
  <si>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</si>
  <si>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</si>
  <si>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</si>
  <si>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</si>
  <si>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</si>
  <si>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</si>
  <si>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</si>
  <si>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</si>
  <si>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</si>
  <si>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</si>
  <si>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</si>
  <si>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</si>
  <si>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</si>
  <si>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</si>
  <si>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</si>
  <si>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</si>
  <si>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</si>
  <si>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</si>
  <si>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</si>
  <si>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</si>
  <si>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</si>
  <si>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</si>
  <si>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</si>
  <si>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</si>
  <si>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</si>
  <si>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</si>
  <si>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</si>
  <si>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</si>
  <si>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</si>
  <si>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</si>
  <si>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</si>
  <si>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</si>
  <si>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</si>
  <si>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</si>
  <si>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</si>
  <si>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</si>
  <si>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</si>
  <si>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</si>
  <si>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</si>
  <si>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</si>
  <si>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</si>
  <si>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</si>
  <si>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</si>
  <si>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</si>
  <si>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</si>
  <si>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</si>
  <si>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</si>
  <si>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</si>
  <si>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</si>
  <si>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</si>
  <si>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</si>
  <si>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</si>
  <si>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</si>
  <si>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</si>
  <si>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</si>
  <si>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</si>
  <si>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</si>
  <si>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</si>
  <si>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</si>
  <si>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</si>
  <si>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</si>
  <si>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</si>
  <si>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</si>
  <si>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</si>
  <si>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</si>
  <si>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</si>
  <si>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</si>
  <si>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</si>
  <si>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</si>
  <si>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</si>
  <si>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</si>
  <si>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</si>
  <si>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</si>
  <si>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</si>
  <si>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</si>
  <si>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</si>
  <si>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</si>
  <si>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</si>
  <si>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</si>
  <si>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</si>
  <si>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</si>
  <si>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</si>
  <si>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</si>
  <si>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</si>
  <si>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</si>
  <si>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</si>
  <si>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</si>
  <si>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</si>
  <si>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</si>
  <si>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</si>
  <si>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</si>
  <si>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</si>
  <si>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</si>
  <si>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</si>
  <si>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</si>
  <si>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</si>
  <si>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</si>
  <si>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</si>
  <si>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</si>
  <si>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</si>
  <si>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</si>
  <si>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</si>
  <si>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</si>
  <si>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</si>
  <si>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</si>
  <si>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</si>
  <si>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</si>
  <si>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</si>
  <si>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</si>
  <si>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</si>
  <si>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</si>
  <si>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</si>
  <si>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</si>
  <si>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</si>
  <si>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</si>
  <si>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</si>
  <si>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</si>
  <si>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</si>
  <si>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</si>
  <si>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</si>
  <si>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</si>
  <si>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</si>
  <si>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</si>
  <si>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</si>
  <si>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</si>
  <si>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</si>
  <si>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</si>
  <si>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</si>
  <si>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</si>
  <si>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</si>
  <si>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</si>
  <si>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</si>
  <si>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</si>
  <si>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</si>
  <si>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</si>
  <si>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</si>
  <si>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</si>
  <si>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</si>
  <si>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</si>
  <si>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</si>
  <si>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</si>
  <si>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</si>
  <si>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</si>
  <si>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</si>
  <si>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</si>
  <si>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</si>
  <si>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</si>
  <si>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</si>
  <si>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</si>
  <si>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</si>
  <si>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</si>
  <si>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</si>
  <si>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</si>
  <si>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</si>
  <si>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</si>
  <si>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</si>
  <si>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</si>
  <si>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</si>
  <si>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</si>
  <si>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</si>
  <si>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</si>
  <si>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</si>
  <si>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</si>
  <si>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</si>
  <si>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</si>
  <si>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</si>
  <si>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</si>
  <si>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</si>
  <si>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</si>
  <si>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</si>
  <si>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</si>
  <si>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</si>
  <si>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</si>
  <si>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</si>
  <si>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</si>
  <si>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</si>
  <si>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</si>
  <si>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</si>
  <si>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</si>
  <si>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</si>
  <si>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</si>
  <si>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</si>
  <si>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</si>
  <si>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</si>
  <si>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</si>
  <si>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</si>
  <si>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</si>
  <si>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</si>
  <si>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</si>
  <si>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</si>
  <si>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</si>
  <si>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</si>
  <si>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</si>
  <si>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</si>
  <si>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</si>
  <si>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</si>
  <si>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</si>
  <si>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</si>
  <si>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</si>
  <si>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</si>
  <si>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</si>
  <si>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</si>
  <si>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</si>
  <si>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</si>
  <si>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</si>
  <si>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</si>
  <si>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</si>
  <si>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</si>
  <si>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</si>
  <si>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</si>
  <si>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</si>
  <si>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</si>
  <si>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</si>
  <si>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</si>
  <si>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</si>
  <si>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</si>
  <si>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</si>
  <si>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</si>
  <si>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</si>
  <si>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</si>
  <si>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</si>
  <si>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</si>
  <si>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</si>
  <si>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</si>
  <si>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</si>
  <si>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</si>
  <si>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</si>
  <si>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</si>
  <si>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</si>
  <si>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</si>
  <si>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</si>
  <si>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</si>
  <si>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</si>
  <si>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</si>
  <si>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</si>
  <si>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</si>
  <si>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</si>
  <si>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</si>
  <si>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</si>
  <si>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</si>
  <si>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</si>
  <si>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</si>
  <si>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</si>
  <si>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</si>
  <si>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</si>
  <si>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</si>
  <si>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</si>
  <si>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</si>
  <si>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</si>
  <si>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</si>
  <si>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</si>
  <si>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</si>
  <si>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</si>
  <si>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</si>
  <si>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</si>
  <si>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</si>
  <si>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</si>
  <si>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</si>
  <si>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</si>
  <si>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</si>
  <si>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</si>
  <si>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</si>
  <si>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</si>
  <si>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</si>
  <si>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</si>
  <si>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</si>
  <si>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</si>
  <si>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</si>
  <si>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</si>
  <si>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</si>
  <si>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</si>
  <si>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</si>
  <si>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</si>
  <si>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</si>
  <si>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</si>
  <si>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</si>
  <si>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R85-DS</t>
  </si>
  <si>
    <t>L-M77012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</si>
  <si>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</si>
  <si>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</si>
  <si>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</si>
  <si>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</si>
  <si>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</si>
  <si>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</si>
  <si>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</si>
  <si>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</si>
  <si>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</si>
  <si>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Flexpipe Inc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</si>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</sst>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6" fillId="0" borderId="0"/>
    <xf numFmtId="0" fontId="8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47">
    <xf numFmtId="0" fontId="0" fillId="0" borderId="0" xfId="0"/>
    <xf numFmtId="0" fontId="4" fillId="2" borderId="0" xfId="7" applyFont="1" applyFill="1" applyProtection="1">
      <protection locked="0"/>
    </xf>
    <xf numFmtId="0" fontId="8" fillId="0" borderId="0" xfId="5"/>
    <xf numFmtId="0" fontId="5" fillId="2" borderId="0" xfId="7" applyFont="1" applyFill="1" applyProtection="1">
      <protection locked="0"/>
    </xf>
    <xf numFmtId="0" fontId="9" fillId="2" borderId="0" xfId="7" applyFont="1" applyFill="1" applyProtection="1">
      <protection locked="0"/>
    </xf>
    <xf numFmtId="0" fontId="4" fillId="0" borderId="0" xfId="5" applyFont="1"/>
    <xf numFmtId="0" fontId="15" fillId="0" borderId="0" xfId="4" applyFont="1" applyAlignment="1" applyProtection="1"/>
    <xf numFmtId="0" fontId="15" fillId="2" borderId="0" xfId="4" applyFont="1" applyFill="1" applyAlignment="1">
      <protection locked="0"/>
    </xf>
    <xf numFmtId="0" fontId="8" fillId="2" borderId="0" xfId="7" applyFill="1" applyProtection="1">
      <protection locked="0"/>
    </xf>
    <xf numFmtId="0" fontId="6" fillId="2" borderId="0" xfId="4" applyFill="1" applyAlignment="1">
      <protection locked="0"/>
    </xf>
    <xf numFmtId="1" fontId="4" fillId="2" borderId="7" xfId="7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/>
    <xf numFmtId="0" fontId="4" fillId="0" borderId="13" xfId="5" applyFont="1" applyBorder="1"/>
    <xf numFmtId="0" fontId="4" fillId="6" borderId="0" xfId="5" applyFont="1" applyFill="1"/>
    <xf numFmtId="0" fontId="4" fillId="6" borderId="0" xfId="7" applyFont="1" applyFill="1" applyAlignment="1" applyProtection="1">
      <alignment horizontal="center" vertical="center" wrapText="1"/>
      <protection locked="0"/>
    </xf>
    <xf numFmtId="0" fontId="4" fillId="6" borderId="0" xfId="7" applyFont="1" applyFill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1" fontId="4" fillId="2" borderId="0" xfId="7" applyNumberFormat="1" applyFont="1" applyFill="1" applyAlignment="1" applyProtection="1">
      <alignment horizontal="center" vertical="center"/>
      <protection locked="0"/>
    </xf>
    <xf numFmtId="0" fontId="27" fillId="0" borderId="0" xfId="5" applyFont="1"/>
    <xf numFmtId="49" fontId="4" fillId="2" borderId="0" xfId="5" applyNumberFormat="1" applyFont="1" applyFill="1"/>
    <xf numFmtId="0" fontId="4" fillId="2" borderId="0" xfId="7" applyFont="1" applyFill="1" applyAlignment="1" applyProtection="1">
      <alignment horizontal="left" vertical="center"/>
      <protection locked="0"/>
    </xf>
    <xf numFmtId="0" fontId="28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/>
      <protection locked="0"/>
    </xf>
    <xf numFmtId="0" fontId="4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 wrapText="1"/>
      <protection locked="0"/>
    </xf>
    <xf numFmtId="0" fontId="4" fillId="0" borderId="14" xfId="5" applyFont="1" applyBorder="1"/>
    <xf numFmtId="0" fontId="4" fillId="0" borderId="15" xfId="5" applyFont="1" applyBorder="1"/>
    <xf numFmtId="0" fontId="17" fillId="0" borderId="8" xfId="5" applyFont="1" applyBorder="1"/>
    <xf numFmtId="0" fontId="4" fillId="0" borderId="12" xfId="5" applyFont="1" applyBorder="1"/>
    <xf numFmtId="0" fontId="17" fillId="0" borderId="9" xfId="5" applyFont="1" applyBorder="1"/>
    <xf numFmtId="0" fontId="4" fillId="0" borderId="10" xfId="5" applyFont="1" applyBorder="1"/>
    <xf numFmtId="0" fontId="4" fillId="0" borderId="10" xfId="5" applyFont="1" applyBorder="1" applyAlignment="1">
      <alignment horizontal="right"/>
    </xf>
    <xf numFmtId="1" fontId="4" fillId="0" borderId="10" xfId="5" applyNumberFormat="1" applyFont="1" applyBorder="1"/>
    <xf numFmtId="0" fontId="4" fillId="0" borderId="11" xfId="5" applyFont="1" applyBorder="1"/>
    <xf numFmtId="0" fontId="18" fillId="0" borderId="14" xfId="5" applyFont="1" applyBorder="1"/>
    <xf numFmtId="0" fontId="18" fillId="0" borderId="15" xfId="5" applyFont="1" applyBorder="1"/>
    <xf numFmtId="0" fontId="18" fillId="0" borderId="13" xfId="5" applyFont="1" applyBorder="1"/>
    <xf numFmtId="0" fontId="16" fillId="0" borderId="16" xfId="5" applyFont="1" applyBorder="1"/>
    <xf numFmtId="0" fontId="16" fillId="0" borderId="17" xfId="5" applyFont="1" applyBorder="1"/>
    <xf numFmtId="0" fontId="4" fillId="0" borderId="17" xfId="5" applyFont="1" applyBorder="1"/>
    <xf numFmtId="0" fontId="18" fillId="0" borderId="8" xfId="5" applyFont="1" applyBorder="1"/>
    <xf numFmtId="0" fontId="18" fillId="0" borderId="0" xfId="5" applyFont="1"/>
    <xf numFmtId="0" fontId="18" fillId="0" borderId="12" xfId="5" applyFont="1" applyBorder="1"/>
    <xf numFmtId="0" fontId="18" fillId="0" borderId="9" xfId="5" applyFont="1" applyBorder="1"/>
    <xf numFmtId="0" fontId="18" fillId="0" borderId="10" xfId="5" applyFont="1" applyBorder="1"/>
    <xf numFmtId="0" fontId="19" fillId="0" borderId="10" xfId="5" applyFont="1" applyBorder="1"/>
    <xf numFmtId="0" fontId="18" fillId="0" borderId="11" xfId="5" applyFont="1" applyBorder="1"/>
    <xf numFmtId="0" fontId="17" fillId="0" borderId="0" xfId="5" applyFont="1"/>
    <xf numFmtId="0" fontId="4" fillId="0" borderId="0" xfId="7" applyFont="1" applyProtection="1">
      <protection locked="0"/>
    </xf>
    <xf numFmtId="0" fontId="5" fillId="6" borderId="0" xfId="5" applyFont="1" applyFill="1"/>
    <xf numFmtId="10" fontId="4" fillId="0" borderId="0" xfId="5" applyNumberFormat="1" applyFont="1"/>
    <xf numFmtId="10" fontId="4" fillId="2" borderId="0" xfId="5" applyNumberFormat="1" applyFont="1" applyFill="1"/>
    <xf numFmtId="0" fontId="5" fillId="0" borderId="0" xfId="7" applyFont="1" applyAlignment="1" applyProtection="1">
      <alignment horizontal="center" vertical="center"/>
      <protection locked="0" hidden="1"/>
    </xf>
    <xf numFmtId="0" fontId="4" fillId="0" borderId="0" xfId="7" applyFont="1" applyAlignment="1" applyProtection="1">
      <alignment horizontal="left" vertical="center"/>
      <protection locked="0"/>
    </xf>
    <xf numFmtId="0" fontId="9" fillId="2" borderId="10" xfId="7" applyFont="1" applyFill="1" applyBorder="1" applyProtection="1">
      <protection locked="0"/>
    </xf>
    <xf numFmtId="0" fontId="9" fillId="2" borderId="9" xfId="7" applyFont="1" applyFill="1" applyBorder="1" applyProtection="1">
      <protection locked="0"/>
    </xf>
    <xf numFmtId="0" fontId="9" fillId="0" borderId="0" xfId="5" applyFont="1"/>
    <xf numFmtId="0" fontId="9" fillId="6" borderId="11" xfId="7" applyFont="1" applyFill="1" applyBorder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/>
      <protection locked="0"/>
    </xf>
    <xf numFmtId="0" fontId="20" fillId="2" borderId="14" xfId="7" applyFont="1" applyFill="1" applyBorder="1" applyProtection="1">
      <protection locked="0"/>
    </xf>
    <xf numFmtId="0" fontId="8" fillId="2" borderId="15" xfId="7" applyFill="1" applyBorder="1" applyProtection="1">
      <protection locked="0"/>
    </xf>
    <xf numFmtId="0" fontId="8" fillId="0" borderId="13" xfId="5" applyBorder="1"/>
    <xf numFmtId="0" fontId="20" fillId="6" borderId="14" xfId="5" applyFont="1" applyFill="1" applyBorder="1"/>
    <xf numFmtId="0" fontId="8" fillId="2" borderId="13" xfId="7" applyFill="1" applyBorder="1" applyProtection="1">
      <protection locked="0"/>
    </xf>
    <xf numFmtId="0" fontId="8" fillId="2" borderId="14" xfId="7" applyFill="1" applyBorder="1" applyProtection="1">
      <protection locked="0"/>
    </xf>
    <xf numFmtId="0" fontId="8" fillId="2" borderId="15" xfId="7" applyFill="1" applyBorder="1" applyAlignment="1" applyProtection="1">
      <alignment horizontal="right"/>
      <protection locked="0"/>
    </xf>
    <xf numFmtId="0" fontId="8" fillId="0" borderId="8" xfId="7" applyBorder="1" applyAlignment="1" applyProtection="1">
      <alignment horizontal="left"/>
      <protection locked="0"/>
    </xf>
    <xf numFmtId="0" fontId="8" fillId="0" borderId="0" xfId="7" applyAlignment="1" applyProtection="1">
      <alignment horizontal="left"/>
      <protection locked="0"/>
    </xf>
    <xf numFmtId="0" fontId="8" fillId="6" borderId="12" xfId="5" applyFill="1" applyBorder="1"/>
    <xf numFmtId="0" fontId="8" fillId="2" borderId="8" xfId="7" applyFill="1" applyBorder="1" applyProtection="1">
      <protection locked="0"/>
    </xf>
    <xf numFmtId="0" fontId="8" fillId="2" borderId="12" xfId="7" applyFill="1" applyBorder="1" applyProtection="1">
      <protection locked="0"/>
    </xf>
    <xf numFmtId="0" fontId="8" fillId="2" borderId="0" xfId="7" applyFill="1" applyAlignment="1" applyProtection="1">
      <alignment horizontal="left" indent="3"/>
      <protection locked="0"/>
    </xf>
    <xf numFmtId="14" fontId="8" fillId="2" borderId="12" xfId="7" applyNumberFormat="1" applyFill="1" applyBorder="1" applyAlignment="1" applyProtection="1">
      <alignment horizontal="left"/>
      <protection locked="0"/>
    </xf>
    <xf numFmtId="0" fontId="8" fillId="2" borderId="8" xfId="7" applyFill="1" applyBorder="1" applyAlignment="1" applyProtection="1">
      <alignment horizontal="left"/>
      <protection locked="0"/>
    </xf>
    <xf numFmtId="0" fontId="8" fillId="2" borderId="9" xfId="7" applyFill="1" applyBorder="1" applyAlignment="1" applyProtection="1">
      <alignment horizontal="left"/>
      <protection locked="0"/>
    </xf>
    <xf numFmtId="0" fontId="8" fillId="2" borderId="10" xfId="7" applyFill="1" applyBorder="1" applyProtection="1">
      <protection locked="0"/>
    </xf>
    <xf numFmtId="0" fontId="8" fillId="6" borderId="11" xfId="5" applyFill="1" applyBorder="1"/>
    <xf numFmtId="0" fontId="8" fillId="2" borderId="9" xfId="7" applyFill="1" applyBorder="1" applyProtection="1">
      <protection locked="0"/>
    </xf>
    <xf numFmtId="0" fontId="8" fillId="2" borderId="11" xfId="7" applyFill="1" applyBorder="1" applyProtection="1">
      <protection locked="0"/>
    </xf>
    <xf numFmtId="0" fontId="8" fillId="2" borderId="0" xfId="7" applyFill="1"/>
    <xf numFmtId="0" fontId="8" fillId="6" borderId="0" xfId="5" applyFill="1"/>
    <xf numFmtId="0" fontId="8" fillId="2" borderId="0" xfId="7" applyFill="1" applyAlignment="1" applyProtection="1">
      <alignment horizontal="right"/>
      <protection locked="0"/>
    </xf>
    <xf numFmtId="0" fontId="8" fillId="6" borderId="0" xfId="7" applyFill="1" applyProtection="1"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20" fillId="2" borderId="8" xfId="7" applyFont="1" applyFill="1" applyBorder="1" applyAlignment="1" applyProtection="1">
      <alignment horizontal="left"/>
      <protection locked="0"/>
    </xf>
    <xf numFmtId="0" fontId="20" fillId="2" borderId="12" xfId="7" applyFont="1" applyFill="1" applyBorder="1" applyProtection="1">
      <protection locked="0"/>
    </xf>
    <xf numFmtId="0" fontId="8" fillId="2" borderId="8" xfId="7" applyFill="1" applyBorder="1" applyAlignment="1" applyProtection="1">
      <alignment horizontal="right"/>
      <protection locked="0"/>
    </xf>
    <xf numFmtId="0" fontId="20" fillId="2" borderId="12" xfId="4" applyFont="1" applyFill="1" applyBorder="1" applyAlignment="1">
      <protection locked="0"/>
    </xf>
    <xf numFmtId="0" fontId="6" fillId="2" borderId="10" xfId="4" applyFill="1" applyBorder="1" applyAlignment="1">
      <protection locked="0"/>
    </xf>
    <xf numFmtId="0" fontId="20" fillId="2" borderId="11" xfId="4" applyFont="1" applyFill="1" applyBorder="1" applyAlignment="1">
      <protection locked="0"/>
    </xf>
    <xf numFmtId="0" fontId="20" fillId="2" borderId="0" xfId="4" applyFont="1" applyFill="1" applyAlignment="1">
      <protection locked="0"/>
    </xf>
    <xf numFmtId="0" fontId="8" fillId="2" borderId="21" xfId="7" applyFill="1" applyBorder="1" applyAlignment="1" applyProtection="1">
      <alignment horizontal="center"/>
      <protection locked="0"/>
    </xf>
    <xf numFmtId="0" fontId="8" fillId="2" borderId="22" xfId="7" applyFill="1" applyBorder="1" applyAlignment="1" applyProtection="1">
      <alignment horizontal="center"/>
      <protection locked="0"/>
    </xf>
    <xf numFmtId="0" fontId="8" fillId="2" borderId="14" xfId="7" applyFill="1" applyBorder="1" applyAlignment="1" applyProtection="1">
      <alignment horizontal="right"/>
      <protection locked="0"/>
    </xf>
    <xf numFmtId="0" fontId="8" fillId="2" borderId="12" xfId="4" applyFont="1" applyFill="1" applyBorder="1" applyAlignment="1">
      <protection locked="0"/>
    </xf>
    <xf numFmtId="0" fontId="8" fillId="6" borderId="12" xfId="7" applyFill="1" applyBorder="1" applyAlignment="1" applyProtection="1">
      <alignment vertical="center" wrapText="1"/>
      <protection locked="0"/>
    </xf>
    <xf numFmtId="0" fontId="8" fillId="6" borderId="0" xfId="7" applyFill="1" applyAlignment="1" applyProtection="1">
      <alignment vertical="center" wrapText="1"/>
      <protection locked="0"/>
    </xf>
    <xf numFmtId="0" fontId="8" fillId="6" borderId="9" xfId="7" applyFill="1" applyBorder="1" applyAlignment="1" applyProtection="1">
      <alignment horizontal="right" vertical="center" wrapText="1"/>
      <protection locked="0"/>
    </xf>
    <xf numFmtId="0" fontId="20" fillId="2" borderId="14" xfId="7" applyFont="1" applyFill="1" applyBorder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right" vertical="center"/>
      <protection locked="0"/>
    </xf>
    <xf numFmtId="166" fontId="8" fillId="7" borderId="7" xfId="7" applyNumberFormat="1" applyFill="1" applyBorder="1" applyAlignment="1">
      <alignment horizontal="right" vertical="center"/>
    </xf>
    <xf numFmtId="166" fontId="8" fillId="2" borderId="7" xfId="7" applyNumberFormat="1" applyFill="1" applyBorder="1" applyAlignment="1">
      <alignment horizontal="right" vertical="center"/>
    </xf>
    <xf numFmtId="0" fontId="10" fillId="2" borderId="0" xfId="7" applyFont="1" applyFill="1" applyAlignment="1" applyProtection="1">
      <alignment horizontal="right" vertical="center"/>
      <protection locked="0"/>
    </xf>
    <xf numFmtId="0" fontId="8" fillId="0" borderId="15" xfId="5" applyBorder="1"/>
    <xf numFmtId="0" fontId="8" fillId="2" borderId="0" xfId="7" applyFill="1" applyAlignment="1" applyProtection="1">
      <alignment horizontal="center"/>
      <protection locked="0"/>
    </xf>
    <xf numFmtId="0" fontId="20" fillId="6" borderId="15" xfId="5" applyFont="1" applyFill="1" applyBorder="1"/>
    <xf numFmtId="0" fontId="20" fillId="6" borderId="13" xfId="5" applyFont="1" applyFill="1" applyBorder="1"/>
    <xf numFmtId="0" fontId="8" fillId="6" borderId="12" xfId="5" applyFill="1" applyBorder="1" applyAlignment="1">
      <alignment horizontal="left"/>
    </xf>
    <xf numFmtId="0" fontId="8" fillId="0" borderId="12" xfId="5" applyBorder="1"/>
    <xf numFmtId="0" fontId="8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8" fillId="0" borderId="6" xfId="0" applyFont="1" applyBorder="1"/>
    <xf numFmtId="0" fontId="8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8" fillId="0" borderId="0" xfId="0" applyFont="1"/>
    <xf numFmtId="0" fontId="8" fillId="0" borderId="2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2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8" fillId="0" borderId="6" xfId="0" applyFont="1" applyBorder="1" applyAlignment="1">
      <alignment horizontal="left" indent="1"/>
    </xf>
    <xf numFmtId="0" fontId="8" fillId="0" borderId="19" xfId="0" applyFont="1" applyBorder="1"/>
    <xf numFmtId="0" fontId="0" fillId="0" borderId="23" xfId="0" applyBorder="1" applyAlignment="1">
      <alignment horizontal="center" vertical="center"/>
    </xf>
    <xf numFmtId="0" fontId="8" fillId="0" borderId="18" xfId="0" applyFont="1" applyBorder="1"/>
    <xf numFmtId="0" fontId="0" fillId="8" borderId="0" xfId="0" applyFill="1"/>
    <xf numFmtId="0" fontId="8" fillId="8" borderId="0" xfId="0" applyFont="1" applyFill="1"/>
    <xf numFmtId="16" fontId="8" fillId="0" borderId="0" xfId="0" quotePrefix="1" applyNumberFormat="1" applyFont="1" applyAlignment="1">
      <alignment horizontal="right"/>
    </xf>
    <xf numFmtId="0" fontId="8" fillId="0" borderId="0" xfId="0" quotePrefix="1" applyFont="1" applyAlignment="1">
      <alignment horizontal="right"/>
    </xf>
    <xf numFmtId="0" fontId="24" fillId="0" borderId="0" xfId="0" applyFont="1"/>
    <xf numFmtId="0" fontId="8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5" fillId="0" borderId="18" xfId="0" applyFont="1" applyBorder="1" applyAlignment="1">
      <alignment horizontal="left" indent="1"/>
    </xf>
    <xf numFmtId="0" fontId="8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9" fillId="2" borderId="7" xfId="7" applyFont="1" applyFill="1" applyBorder="1" applyProtection="1">
      <protection locked="0"/>
    </xf>
    <xf numFmtId="0" fontId="10" fillId="0" borderId="7" xfId="7" applyFont="1" applyBorder="1" applyAlignment="1" applyProtection="1">
      <alignment horizontal="center" vertical="center"/>
      <protection locked="0"/>
    </xf>
    <xf numFmtId="0" fontId="10" fillId="0" borderId="7" xfId="7" applyFont="1" applyBorder="1" applyAlignment="1" applyProtection="1">
      <alignment horizontal="left" vertical="center"/>
      <protection locked="0"/>
    </xf>
    <xf numFmtId="166" fontId="9" fillId="9" borderId="7" xfId="7" applyNumberFormat="1" applyFont="1" applyFill="1" applyBorder="1" applyAlignment="1" applyProtection="1">
      <alignment horizontal="right" vertical="center"/>
      <protection locked="0"/>
    </xf>
    <xf numFmtId="1" fontId="9" fillId="2" borderId="7" xfId="7" applyNumberFormat="1" applyFont="1" applyFill="1" applyBorder="1" applyAlignment="1" applyProtection="1">
      <alignment horizontal="center" vertical="center"/>
      <protection locked="0"/>
    </xf>
    <xf numFmtId="166" fontId="9" fillId="2" borderId="7" xfId="3" applyNumberFormat="1" applyFont="1" applyFill="1" applyBorder="1" applyAlignment="1" applyProtection="1">
      <alignment horizontal="right" vertical="center"/>
      <protection locked="0"/>
    </xf>
    <xf numFmtId="0" fontId="5" fillId="9" borderId="7" xfId="7" applyFont="1" applyFill="1" applyBorder="1" applyAlignment="1" applyProtection="1">
      <alignment horizontal="center" vertical="center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4" fillId="2" borderId="7" xfId="7" applyFont="1" applyFill="1" applyBorder="1" applyProtection="1">
      <protection locked="0"/>
    </xf>
    <xf numFmtId="1" fontId="8" fillId="2" borderId="13" xfId="7" quotePrefix="1" applyNumberFormat="1" applyFill="1" applyBorder="1" applyAlignment="1" applyProtection="1">
      <alignment horizontal="left"/>
      <protection locked="0"/>
    </xf>
    <xf numFmtId="0" fontId="32" fillId="0" borderId="0" xfId="0" applyFont="1"/>
    <xf numFmtId="0" fontId="33" fillId="0" borderId="0" xfId="0" applyFont="1"/>
    <xf numFmtId="0" fontId="35" fillId="0" borderId="0" xfId="0" applyFont="1"/>
    <xf numFmtId="0" fontId="53" fillId="0" borderId="0" xfId="0" applyFont="1"/>
    <xf numFmtId="0" fontId="44" fillId="0" borderId="0" xfId="0" applyFont="1"/>
    <xf numFmtId="0" fontId="39" fillId="0" borderId="0" xfId="0" applyFont="1"/>
    <xf numFmtId="0" fontId="57" fillId="0" borderId="0" xfId="0" applyFont="1" applyAlignment="1">
      <alignment horizontal="center" vertical="center"/>
    </xf>
    <xf numFmtId="0" fontId="58" fillId="0" borderId="0" xfId="0" applyFont="1"/>
    <xf numFmtId="0" fontId="40" fillId="0" borderId="0" xfId="0" applyFont="1"/>
    <xf numFmtId="0" fontId="56" fillId="0" borderId="0" xfId="0" applyFont="1"/>
    <xf numFmtId="0" fontId="57" fillId="0" borderId="0" xfId="0" applyFont="1"/>
    <xf numFmtId="0" fontId="50" fillId="0" borderId="0" xfId="0" applyFont="1"/>
    <xf numFmtId="0" fontId="50" fillId="0" borderId="0" xfId="0" applyFont="1" applyAlignment="1">
      <alignment vertical="center"/>
    </xf>
    <xf numFmtId="0" fontId="61" fillId="0" borderId="0" xfId="0" applyFont="1"/>
    <xf numFmtId="0" fontId="47" fillId="0" borderId="0" xfId="0" applyFont="1"/>
    <xf numFmtId="0" fontId="65" fillId="10" borderId="7" xfId="0" applyFont="1" applyFill="1" applyBorder="1"/>
    <xf numFmtId="166" fontId="65" fillId="10" borderId="7" xfId="0" applyNumberFormat="1" applyFont="1" applyFill="1" applyBorder="1"/>
    <xf numFmtId="2" fontId="65" fillId="10" borderId="7" xfId="0" applyNumberFormat="1" applyFont="1" applyFill="1" applyBorder="1"/>
    <xf numFmtId="0" fontId="65" fillId="11" borderId="0" xfId="0" applyFont="1" applyFill="1"/>
    <xf numFmtId="166" fontId="33" fillId="0" borderId="0" xfId="0" applyNumberFormat="1" applyFont="1"/>
    <xf numFmtId="167" fontId="33" fillId="0" borderId="0" xfId="0" applyNumberFormat="1" applyFont="1"/>
    <xf numFmtId="2" fontId="33" fillId="0" borderId="0" xfId="0" applyNumberFormat="1" applyFont="1"/>
    <xf numFmtId="0" fontId="66" fillId="0" borderId="7" xfId="0" applyFont="1" applyBorder="1"/>
    <xf numFmtId="166" fontId="54" fillId="0" borderId="7" xfId="0" applyNumberFormat="1" applyFont="1" applyBorder="1"/>
    <xf numFmtId="167" fontId="54" fillId="0" borderId="7" xfId="0" applyNumberFormat="1" applyFont="1" applyBorder="1"/>
    <xf numFmtId="0" fontId="54" fillId="0" borderId="7" xfId="0" applyFont="1" applyBorder="1"/>
    <xf numFmtId="166" fontId="43" fillId="0" borderId="7" xfId="0" applyNumberFormat="1" applyFont="1" applyBorder="1"/>
    <xf numFmtId="0" fontId="45" fillId="8" borderId="7" xfId="0" applyFont="1" applyFill="1" applyBorder="1" applyAlignment="1">
      <alignment horizontal="center"/>
    </xf>
    <xf numFmtId="0" fontId="33" fillId="8" borderId="7" xfId="0" applyFont="1" applyFill="1" applyBorder="1"/>
    <xf numFmtId="0" fontId="45" fillId="0" borderId="7" xfId="0" applyFont="1" applyBorder="1"/>
    <xf numFmtId="2" fontId="33" fillId="0" borderId="7" xfId="0" applyNumberFormat="1" applyFont="1" applyBorder="1"/>
    <xf numFmtId="0" fontId="33" fillId="0" borderId="7" xfId="0" applyFont="1" applyBorder="1"/>
    <xf numFmtId="166" fontId="45" fillId="0" borderId="7" xfId="0" applyNumberFormat="1" applyFont="1" applyBorder="1"/>
    <xf numFmtId="167" fontId="45" fillId="0" borderId="7" xfId="0" applyNumberFormat="1" applyFont="1" applyBorder="1"/>
    <xf numFmtId="2" fontId="43" fillId="0" borderId="7" xfId="0" applyNumberFormat="1" applyFont="1" applyBorder="1"/>
    <xf numFmtId="0" fontId="43" fillId="0" borderId="0" xfId="0" applyFont="1"/>
    <xf numFmtId="166" fontId="33" fillId="0" borderId="7" xfId="0" applyNumberFormat="1" applyFont="1" applyBorder="1"/>
    <xf numFmtId="167" fontId="33" fillId="0" borderId="7" xfId="0" applyNumberFormat="1" applyFont="1" applyBorder="1"/>
    <xf numFmtId="0" fontId="41" fillId="5" borderId="7" xfId="0" applyFont="1" applyFill="1" applyBorder="1"/>
    <xf numFmtId="166" fontId="41" fillId="5" borderId="7" xfId="0" applyNumberFormat="1" applyFont="1" applyFill="1" applyBorder="1"/>
    <xf numFmtId="167" fontId="41" fillId="5" borderId="7" xfId="0" applyNumberFormat="1" applyFont="1" applyFill="1" applyBorder="1"/>
    <xf numFmtId="2" fontId="41" fillId="5" borderId="7" xfId="0" applyNumberFormat="1" applyFont="1" applyFill="1" applyBorder="1"/>
    <xf numFmtId="0" fontId="41" fillId="0" borderId="0" xfId="0" applyFont="1"/>
    <xf numFmtId="1" fontId="33" fillId="0" borderId="7" xfId="0" applyNumberFormat="1" applyFont="1" applyBorder="1"/>
    <xf numFmtId="3" fontId="33" fillId="0" borderId="7" xfId="0" applyNumberFormat="1" applyFont="1" applyBorder="1"/>
    <xf numFmtId="0" fontId="33" fillId="12" borderId="7" xfId="0" applyFont="1" applyFill="1" applyBorder="1" applyAlignment="1">
      <alignment horizontal="center"/>
    </xf>
    <xf numFmtId="0" fontId="40" fillId="12" borderId="7" xfId="0" applyFont="1" applyFill="1" applyBorder="1"/>
    <xf numFmtId="1" fontId="33" fillId="12" borderId="7" xfId="0" applyNumberFormat="1" applyFont="1" applyFill="1" applyBorder="1"/>
    <xf numFmtId="3" fontId="33" fillId="12" borderId="7" xfId="0" applyNumberFormat="1" applyFont="1" applyFill="1" applyBorder="1"/>
    <xf numFmtId="0" fontId="40" fillId="13" borderId="7" xfId="0" applyFont="1" applyFill="1" applyBorder="1"/>
    <xf numFmtId="1" fontId="33" fillId="13" borderId="7" xfId="0" applyNumberFormat="1" applyFont="1" applyFill="1" applyBorder="1"/>
    <xf numFmtId="3" fontId="33" fillId="13" borderId="7" xfId="0" applyNumberFormat="1" applyFont="1" applyFill="1" applyBorder="1"/>
    <xf numFmtId="0" fontId="33" fillId="13" borderId="7" xfId="0" applyFont="1" applyFill="1" applyBorder="1"/>
    <xf numFmtId="0" fontId="68" fillId="0" borderId="0" xfId="0" applyFont="1"/>
    <xf numFmtId="0" fontId="33" fillId="21" borderId="0" xfId="0" applyFont="1" applyFill="1"/>
    <xf numFmtId="0" fontId="40" fillId="21" borderId="0" xfId="0" applyFont="1" applyFill="1"/>
    <xf numFmtId="0" fontId="56" fillId="21" borderId="0" xfId="0" applyFont="1" applyFill="1"/>
    <xf numFmtId="0" fontId="34" fillId="21" borderId="0" xfId="4" applyFont="1" applyFill="1" applyAlignment="1" applyProtection="1">
      <alignment horizontal="center"/>
    </xf>
    <xf numFmtId="0" fontId="37" fillId="21" borderId="0" xfId="0" applyFont="1" applyFill="1" applyAlignment="1">
      <alignment horizontal="center"/>
    </xf>
    <xf numFmtId="0" fontId="57" fillId="21" borderId="0" xfId="0" applyFont="1" applyFill="1"/>
    <xf numFmtId="0" fontId="34" fillId="21" borderId="0" xfId="0" applyFont="1" applyFill="1" applyAlignment="1">
      <alignment horizontal="center"/>
    </xf>
    <xf numFmtId="0" fontId="44" fillId="21" borderId="0" xfId="0" applyFont="1" applyFill="1"/>
    <xf numFmtId="0" fontId="43" fillId="21" borderId="0" xfId="0" applyFont="1" applyFill="1"/>
    <xf numFmtId="0" fontId="60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 vertical="center" textRotation="90"/>
    </xf>
    <xf numFmtId="0" fontId="42" fillId="21" borderId="0" xfId="0" applyFont="1" applyFill="1" applyAlignment="1">
      <alignment horizontal="center" vertical="center" textRotation="90"/>
    </xf>
    <xf numFmtId="0" fontId="33" fillId="21" borderId="0" xfId="0" applyFont="1" applyFill="1" applyAlignment="1">
      <alignment horizontal="center"/>
    </xf>
    <xf numFmtId="0" fontId="64" fillId="21" borderId="0" xfId="4" applyFont="1" applyFill="1" applyAlignment="1" applyProtection="1">
      <alignment horizontal="center"/>
    </xf>
    <xf numFmtId="0" fontId="64" fillId="21" borderId="0" xfId="4" applyFont="1" applyFill="1" applyAlignment="1" applyProtection="1">
      <alignment horizontal="center" vertical="center"/>
    </xf>
    <xf numFmtId="0" fontId="33" fillId="6" borderId="0" xfId="0" applyFont="1" applyFill="1"/>
    <xf numFmtId="0" fontId="43" fillId="6" borderId="0" xfId="0" applyFont="1" applyFill="1"/>
    <xf numFmtId="0" fontId="51" fillId="6" borderId="0" xfId="0" applyFont="1" applyFill="1"/>
    <xf numFmtId="0" fontId="52" fillId="21" borderId="0" xfId="0" applyFont="1" applyFill="1"/>
    <xf numFmtId="0" fontId="54" fillId="21" borderId="0" xfId="0" applyFont="1" applyFill="1" applyAlignment="1">
      <alignment horizontal="left"/>
    </xf>
    <xf numFmtId="0" fontId="64" fillId="21" borderId="0" xfId="4" applyFont="1" applyFill="1" applyAlignment="1" applyProtection="1">
      <alignment horizontal="center" wrapText="1"/>
    </xf>
    <xf numFmtId="0" fontId="78" fillId="0" borderId="0" xfId="0" applyFont="1"/>
    <xf numFmtId="0" fontId="74" fillId="21" borderId="0" xfId="0" applyFont="1" applyFill="1" applyAlignment="1">
      <alignment horizontal="center" vertical="center" textRotation="90"/>
    </xf>
    <xf numFmtId="0" fontId="77" fillId="21" borderId="0" xfId="4" applyFont="1" applyFill="1" applyAlignment="1" applyProtection="1">
      <alignment horizontal="center"/>
    </xf>
    <xf numFmtId="0" fontId="75" fillId="0" borderId="0" xfId="0" applyFont="1"/>
    <xf numFmtId="0" fontId="79" fillId="0" borderId="0" xfId="0" applyFont="1"/>
    <xf numFmtId="0" fontId="60" fillId="21" borderId="0" xfId="0" applyFont="1" applyFill="1" applyAlignment="1">
      <alignment horizontal="center" textRotation="90"/>
    </xf>
    <xf numFmtId="0" fontId="58" fillId="21" borderId="0" xfId="0" applyFont="1" applyFill="1"/>
    <xf numFmtId="0" fontId="57" fillId="21" borderId="0" xfId="0" applyFont="1" applyFill="1" applyAlignment="1">
      <alignment horizontal="center"/>
    </xf>
    <xf numFmtId="0" fontId="63" fillId="21" borderId="0" xfId="0" applyFont="1" applyFill="1" applyAlignment="1">
      <alignment horizontal="center" vertical="center" textRotation="90"/>
    </xf>
    <xf numFmtId="0" fontId="60" fillId="21" borderId="37" xfId="0" applyFont="1" applyFill="1" applyBorder="1" applyAlignment="1">
      <alignment horizontal="center" vertical="center" textRotation="90"/>
    </xf>
    <xf numFmtId="0" fontId="3" fillId="21" borderId="0" xfId="0" applyFont="1" applyFill="1"/>
    <xf numFmtId="0" fontId="5" fillId="21" borderId="0" xfId="0" applyFont="1" applyFill="1"/>
    <xf numFmtId="0" fontId="4" fillId="21" borderId="0" xfId="0" applyFont="1" applyFill="1" applyAlignment="1">
      <alignment horizontal="center"/>
    </xf>
    <xf numFmtId="0" fontId="85" fillId="21" borderId="0" xfId="0" applyFont="1" applyFill="1"/>
    <xf numFmtId="0" fontId="9" fillId="21" borderId="0" xfId="0" applyFont="1" applyFill="1"/>
    <xf numFmtId="168" fontId="3" fillId="21" borderId="0" xfId="2" applyNumberFormat="1" applyFill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165" fontId="9" fillId="21" borderId="0" xfId="1" applyFont="1" applyFill="1" applyAlignment="1">
      <alignment horizontal="left"/>
    </xf>
    <xf numFmtId="164" fontId="9" fillId="21" borderId="0" xfId="2" applyFont="1" applyFill="1" applyAlignment="1">
      <alignment horizontal="left"/>
    </xf>
    <xf numFmtId="164" fontId="3" fillId="21" borderId="0" xfId="2" applyFill="1" applyAlignment="1">
      <alignment horizontal="right"/>
    </xf>
    <xf numFmtId="0" fontId="9" fillId="21" borderId="0" xfId="0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3" fillId="21" borderId="1" xfId="0" applyFont="1" applyFill="1" applyBorder="1"/>
    <xf numFmtId="0" fontId="9" fillId="21" borderId="0" xfId="2" applyNumberFormat="1" applyFont="1" applyFill="1" applyAlignment="1">
      <alignment horizontal="center"/>
    </xf>
    <xf numFmtId="0" fontId="9" fillId="21" borderId="0" xfId="2" applyNumberFormat="1" applyFont="1" applyFill="1" applyAlignment="1">
      <alignment horizontal="left"/>
    </xf>
    <xf numFmtId="0" fontId="88" fillId="21" borderId="0" xfId="0" applyFont="1" applyFill="1" applyAlignment="1">
      <alignment horizontal="center"/>
    </xf>
    <xf numFmtId="0" fontId="87" fillId="21" borderId="0" xfId="0" applyFont="1" applyFill="1"/>
    <xf numFmtId="164" fontId="9" fillId="21" borderId="0" xfId="2" applyFont="1" applyFill="1" applyAlignment="1">
      <alignment horizontal="right"/>
    </xf>
    <xf numFmtId="168" fontId="9" fillId="21" borderId="0" xfId="1" applyNumberFormat="1" applyFont="1" applyFill="1" applyAlignment="1">
      <alignment horizontal="left"/>
    </xf>
    <xf numFmtId="0" fontId="77" fillId="21" borderId="0" xfId="0" applyFont="1" applyFill="1" applyAlignment="1">
      <alignment horizontal="center"/>
    </xf>
    <xf numFmtId="164" fontId="4" fillId="21" borderId="1" xfId="2" applyFont="1" applyFill="1" applyBorder="1" applyAlignment="1">
      <alignment horizontal="center"/>
    </xf>
    <xf numFmtId="0" fontId="9" fillId="21" borderId="0" xfId="2" applyNumberFormat="1" applyFont="1" applyFill="1" applyAlignment="1">
      <alignment horizontal="right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0" fontId="85" fillId="21" borderId="0" xfId="2" applyNumberFormat="1" applyFont="1" applyFill="1" applyAlignment="1">
      <alignment horizontal="center"/>
    </xf>
    <xf numFmtId="0" fontId="85" fillId="21" borderId="0" xfId="2" applyNumberFormat="1" applyFont="1" applyFill="1" applyAlignment="1">
      <alignment horizontal="right"/>
    </xf>
    <xf numFmtId="0" fontId="85" fillId="21" borderId="0" xfId="2" applyNumberFormat="1" applyFont="1" applyFill="1" applyAlignment="1">
      <alignment horizontal="left"/>
    </xf>
    <xf numFmtId="0" fontId="85" fillId="21" borderId="0" xfId="0" applyFont="1" applyFill="1" applyAlignment="1">
      <alignment horizontal="center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8" fontId="86" fillId="21" borderId="0" xfId="1" applyNumberFormat="1" applyFont="1" applyFill="1" applyAlignment="1">
      <alignment horizontal="left"/>
    </xf>
    <xf numFmtId="164" fontId="86" fillId="21" borderId="0" xfId="2" applyFont="1" applyFill="1" applyAlignment="1">
      <alignment horizontal="right"/>
    </xf>
    <xf numFmtId="0" fontId="86" fillId="21" borderId="0" xfId="0" applyFont="1" applyFill="1" applyAlignment="1">
      <alignment horizontal="left"/>
    </xf>
    <xf numFmtId="164" fontId="86" fillId="21" borderId="0" xfId="2" applyFont="1" applyFill="1" applyAlignment="1">
      <alignment horizontal="left"/>
    </xf>
    <xf numFmtId="164" fontId="85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0" fontId="84" fillId="21" borderId="0" xfId="0" applyFont="1" applyFill="1"/>
    <xf numFmtId="0" fontId="91" fillId="21" borderId="0" xfId="0" applyFont="1" applyFill="1" applyAlignment="1">
      <alignment horizontal="center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5" fillId="21" borderId="36" xfId="0" applyFont="1" applyFill="1" applyBorder="1"/>
    <xf numFmtId="0" fontId="85" fillId="0" borderId="31" xfId="0" applyFont="1" applyBorder="1" applyAlignment="1">
      <alignment horizontal="center"/>
    </xf>
    <xf numFmtId="3" fontId="85" fillId="21" borderId="0" xfId="2" applyNumberFormat="1" applyFont="1" applyFill="1" applyAlignment="1">
      <alignment horizontal="left"/>
    </xf>
    <xf numFmtId="164" fontId="85" fillId="9" borderId="0" xfId="2" applyFont="1" applyFill="1" applyAlignment="1">
      <alignment horizontal="center"/>
    </xf>
    <xf numFmtId="0" fontId="87" fillId="9" borderId="0" xfId="0" applyFont="1" applyFill="1" applyAlignment="1" applyProtection="1">
      <alignment horizontal="center"/>
      <protection locked="0"/>
    </xf>
    <xf numFmtId="0" fontId="85" fillId="9" borderId="0" xfId="0" applyFont="1" applyFill="1"/>
    <xf numFmtId="168" fontId="85" fillId="21" borderId="0" xfId="2" applyNumberFormat="1" applyFont="1" applyFill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21" borderId="92" xfId="0" applyFont="1" applyFill="1" applyBorder="1"/>
    <xf numFmtId="0" fontId="87" fillId="21" borderId="0" xfId="0" applyFont="1" applyFill="1" applyAlignment="1">
      <alignment vertical="center"/>
    </xf>
    <xf numFmtId="0" fontId="85" fillId="21" borderId="39" xfId="0" applyFont="1" applyFill="1" applyBorder="1"/>
    <xf numFmtId="164" fontId="85" fillId="21" borderId="39" xfId="2" applyFont="1" applyFill="1" applyBorder="1" applyAlignment="1">
      <alignment horizontal="center"/>
    </xf>
    <xf numFmtId="0" fontId="87" fillId="21" borderId="39" xfId="0" applyFont="1" applyFill="1" applyBorder="1" applyAlignment="1" applyProtection="1">
      <alignment horizontal="center"/>
      <protection locked="0"/>
    </xf>
    <xf numFmtId="0" fontId="85" fillId="21" borderId="37" xfId="0" applyFont="1" applyFill="1" applyBorder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1" fontId="90" fillId="21" borderId="0" xfId="0" applyNumberFormat="1" applyFont="1" applyFill="1" applyAlignment="1">
      <alignment horizontal="center"/>
    </xf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45" fillId="22" borderId="7" xfId="0" applyFont="1" applyFill="1" applyBorder="1" applyAlignment="1">
      <alignment horizontal="center"/>
    </xf>
    <xf numFmtId="0" fontId="33" fillId="22" borderId="7" xfId="0" applyFont="1" applyFill="1" applyBorder="1"/>
    <xf numFmtId="0" fontId="45" fillId="22" borderId="7" xfId="0" applyFont="1" applyFill="1" applyBorder="1"/>
    <xf numFmtId="166" fontId="54" fillId="22" borderId="7" xfId="0" applyNumberFormat="1" applyFont="1" applyFill="1" applyBorder="1"/>
    <xf numFmtId="167" fontId="54" fillId="22" borderId="7" xfId="0" applyNumberFormat="1" applyFont="1" applyFill="1" applyBorder="1"/>
    <xf numFmtId="0" fontId="54" fillId="22" borderId="7" xfId="0" applyFont="1" applyFill="1" applyBorder="1"/>
    <xf numFmtId="2" fontId="33" fillId="22" borderId="7" xfId="0" applyNumberFormat="1" applyFont="1" applyFill="1" applyBorder="1"/>
    <xf numFmtId="0" fontId="33" fillId="22" borderId="0" xfId="0" applyFont="1" applyFill="1"/>
    <xf numFmtId="0" fontId="45" fillId="22" borderId="0" xfId="0" applyFont="1" applyFill="1" applyAlignment="1">
      <alignment horizontal="center" vertical="center" wrapText="1"/>
    </xf>
    <xf numFmtId="0" fontId="54" fillId="22" borderId="0" xfId="0" applyFont="1" applyFill="1" applyAlignment="1">
      <alignment horizontal="center" vertical="center" wrapText="1"/>
    </xf>
    <xf numFmtId="167" fontId="54" fillId="22" borderId="0" xfId="0" applyNumberFormat="1" applyFont="1" applyFill="1" applyAlignment="1">
      <alignment horizontal="center" vertical="center" wrapText="1"/>
    </xf>
    <xf numFmtId="166" fontId="54" fillId="22" borderId="0" xfId="0" applyNumberFormat="1" applyFont="1" applyFill="1" applyAlignment="1">
      <alignment horizontal="center" vertical="center" wrapText="1"/>
    </xf>
    <xf numFmtId="3" fontId="54" fillId="22" borderId="7" xfId="0" applyNumberFormat="1" applyFont="1" applyFill="1" applyBorder="1"/>
    <xf numFmtId="167" fontId="67" fillId="22" borderId="7" xfId="0" applyNumberFormat="1" applyFont="1" applyFill="1" applyBorder="1"/>
    <xf numFmtId="166" fontId="43" fillId="22" borderId="23" xfId="0" applyNumberFormat="1" applyFont="1" applyFill="1" applyBorder="1"/>
    <xf numFmtId="0" fontId="36" fillId="21" borderId="0" xfId="0" applyFont="1" applyFill="1" applyAlignment="1">
      <alignment horizontal="center" vertical="center"/>
    </xf>
    <xf numFmtId="0" fontId="38" fillId="21" borderId="0" xfId="0" applyFont="1" applyFill="1" applyAlignment="1">
      <alignment horizontal="center" vertical="center"/>
    </xf>
    <xf numFmtId="0" fontId="30" fillId="23" borderId="0" xfId="0" applyFont="1" applyFill="1" applyAlignment="1">
      <alignment horizontal="left"/>
    </xf>
    <xf numFmtId="0" fontId="103" fillId="6" borderId="0" xfId="0" applyFont="1" applyFill="1"/>
    <xf numFmtId="0" fontId="103" fillId="0" borderId="0" xfId="0" applyFont="1"/>
    <xf numFmtId="0" fontId="104" fillId="6" borderId="0" xfId="0" applyFont="1" applyFill="1"/>
    <xf numFmtId="0" fontId="39" fillId="21" borderId="0" xfId="0" applyFont="1" applyFill="1"/>
    <xf numFmtId="0" fontId="43" fillId="21" borderId="0" xfId="0" applyFont="1" applyFill="1" applyAlignment="1">
      <alignment horizontal="center" wrapText="1"/>
    </xf>
    <xf numFmtId="0" fontId="44" fillId="21" borderId="0" xfId="0" applyFont="1" applyFill="1" applyAlignment="1">
      <alignment horizontal="center" wrapText="1"/>
    </xf>
    <xf numFmtId="1" fontId="55" fillId="21" borderId="0" xfId="0" applyNumberFormat="1" applyFont="1" applyFill="1" applyAlignment="1">
      <alignment horizontal="center"/>
    </xf>
    <xf numFmtId="0" fontId="59" fillId="21" borderId="0" xfId="0" applyFont="1" applyFill="1" applyAlignment="1">
      <alignment horizontal="center"/>
    </xf>
    <xf numFmtId="0" fontId="56" fillId="21" borderId="36" xfId="0" applyFont="1" applyFill="1" applyBorder="1"/>
    <xf numFmtId="0" fontId="77" fillId="21" borderId="0" xfId="4" applyFont="1" applyFill="1" applyAlignment="1" applyProtection="1">
      <alignment horizontal="center" vertical="center"/>
    </xf>
    <xf numFmtId="164" fontId="85" fillId="21" borderId="34" xfId="2" applyFont="1" applyFill="1" applyBorder="1" applyAlignment="1">
      <alignment horizontal="center"/>
    </xf>
    <xf numFmtId="164" fontId="85" fillId="21" borderId="34" xfId="2" applyFont="1" applyFill="1" applyBorder="1" applyAlignment="1">
      <alignment horizontal="right"/>
    </xf>
    <xf numFmtId="0" fontId="85" fillId="21" borderId="34" xfId="2" applyNumberFormat="1" applyFont="1" applyFill="1" applyBorder="1" applyAlignment="1">
      <alignment horizontal="left"/>
    </xf>
    <xf numFmtId="164" fontId="85" fillId="21" borderId="48" xfId="2" applyFont="1" applyFill="1" applyBorder="1" applyAlignment="1">
      <alignment horizontal="center"/>
    </xf>
    <xf numFmtId="164" fontId="85" fillId="21" borderId="48" xfId="2" applyFont="1" applyFill="1" applyBorder="1" applyAlignment="1">
      <alignment horizontal="right"/>
    </xf>
    <xf numFmtId="0" fontId="85" fillId="21" borderId="48" xfId="2" applyNumberFormat="1" applyFont="1" applyFill="1" applyBorder="1" applyAlignment="1">
      <alignment horizontal="left"/>
    </xf>
    <xf numFmtId="0" fontId="88" fillId="21" borderId="39" xfId="0" applyFont="1" applyFill="1" applyBorder="1" applyAlignment="1">
      <alignment horizontal="center"/>
    </xf>
    <xf numFmtId="0" fontId="74" fillId="21" borderId="37" xfId="0" applyFont="1" applyFill="1" applyBorder="1" applyAlignment="1">
      <alignment horizontal="center" vertical="center" textRotation="90"/>
    </xf>
    <xf numFmtId="0" fontId="77" fillId="0" borderId="0" xfId="4" applyFont="1" applyAlignment="1" applyProtection="1">
      <alignment horizontal="center"/>
    </xf>
    <xf numFmtId="0" fontId="47" fillId="0" borderId="0" xfId="0" applyFont="1" applyAlignment="1">
      <alignment horizontal="right"/>
    </xf>
    <xf numFmtId="0" fontId="47" fillId="0" borderId="0" xfId="0" applyFont="1" applyAlignment="1">
      <alignment horizontal="left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106" fillId="0" borderId="0" xfId="0" applyFont="1" applyAlignment="1">
      <alignment horizontal="center"/>
    </xf>
    <xf numFmtId="0" fontId="103" fillId="0" borderId="92" xfId="0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/>
    </xf>
    <xf numFmtId="0" fontId="102" fillId="23" borderId="0" xfId="0" applyFont="1" applyFill="1" applyAlignment="1">
      <alignment horizontal="left"/>
    </xf>
    <xf numFmtId="0" fontId="102" fillId="23" borderId="0" xfId="0" applyFont="1" applyFill="1"/>
    <xf numFmtId="0" fontId="31" fillId="23" borderId="0" xfId="0" applyFont="1" applyFill="1" applyAlignment="1">
      <alignment vertical="center"/>
    </xf>
    <xf numFmtId="0" fontId="41" fillId="21" borderId="0" xfId="0" applyFont="1" applyFill="1"/>
    <xf numFmtId="164" fontId="33" fillId="21" borderId="0" xfId="2" applyFont="1" applyFill="1" applyAlignment="1">
      <alignment horizontal="center"/>
    </xf>
    <xf numFmtId="164" fontId="33" fillId="21" borderId="0" xfId="2" applyFont="1" applyFill="1" applyAlignment="1">
      <alignment horizontal="right"/>
    </xf>
    <xf numFmtId="0" fontId="33" fillId="21" borderId="0" xfId="2" applyNumberFormat="1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87" fillId="21" borderId="121" xfId="0" applyFont="1" applyFill="1" applyBorder="1" applyAlignment="1">
      <alignment vertical="center"/>
    </xf>
    <xf numFmtId="0" fontId="87" fillId="21" borderId="120" xfId="0" applyFont="1" applyFill="1" applyBorder="1" applyAlignment="1">
      <alignment horizontal="center"/>
    </xf>
    <xf numFmtId="0" fontId="35" fillId="21" borderId="0" xfId="0" applyFont="1" applyFill="1"/>
    <xf numFmtId="0" fontId="53" fillId="21" borderId="0" xfId="0" applyFont="1" applyFill="1"/>
    <xf numFmtId="0" fontId="57" fillId="21" borderId="0" xfId="0" applyFont="1" applyFill="1" applyAlignment="1">
      <alignment horizontal="center" vertical="center"/>
    </xf>
    <xf numFmtId="0" fontId="78" fillId="21" borderId="0" xfId="0" applyFont="1" applyFill="1"/>
    <xf numFmtId="0" fontId="50" fillId="21" borderId="0" xfId="0" applyFont="1" applyFill="1"/>
    <xf numFmtId="0" fontId="50" fillId="21" borderId="0" xfId="0" applyFont="1" applyFill="1" applyAlignment="1">
      <alignment vertical="center"/>
    </xf>
    <xf numFmtId="0" fontId="61" fillId="21" borderId="0" xfId="0" applyFont="1" applyFill="1"/>
    <xf numFmtId="0" fontId="75" fillId="21" borderId="0" xfId="0" applyFont="1" applyFill="1"/>
    <xf numFmtId="164" fontId="3" fillId="21" borderId="0" xfId="2" applyFill="1" applyAlignment="1">
      <alignment horizontal="center"/>
    </xf>
    <xf numFmtId="0" fontId="33" fillId="21" borderId="36" xfId="0" applyFont="1" applyFill="1" applyBorder="1"/>
    <xf numFmtId="0" fontId="33" fillId="21" borderId="0" xfId="0" applyFont="1" applyFill="1" applyAlignment="1">
      <alignment vertical="center"/>
    </xf>
    <xf numFmtId="0" fontId="33" fillId="6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45" fillId="6" borderId="0" xfId="0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1" fontId="33" fillId="21" borderId="0" xfId="0" applyNumberFormat="1" applyFont="1" applyFill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107" fillId="0" borderId="92" xfId="0" applyFont="1" applyBorder="1" applyAlignment="1" applyProtection="1">
      <alignment horizontal="center" vertical="center"/>
      <protection locked="0"/>
    </xf>
    <xf numFmtId="0" fontId="108" fillId="0" borderId="92" xfId="0" applyFont="1" applyBorder="1" applyAlignment="1" applyProtection="1">
      <alignment horizontal="center"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Font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3" fillId="2" borderId="0" xfId="7" applyFont="1" applyFill="1" applyProtection="1">
      <protection locked="0"/>
    </xf>
    <xf numFmtId="0" fontId="14" fillId="2" borderId="0" xfId="7" applyFont="1" applyFill="1" applyProtection="1">
      <protection locked="0"/>
    </xf>
    <xf numFmtId="0" fontId="3" fillId="0" borderId="0" xfId="5" applyFont="1"/>
    <xf numFmtId="0" fontId="7" fillId="0" borderId="0" xfId="5" applyFont="1"/>
    <xf numFmtId="0" fontId="7" fillId="0" borderId="0" xfId="7" applyFont="1" applyProtection="1">
      <protection locked="0"/>
    </xf>
    <xf numFmtId="0" fontId="4" fillId="6" borderId="0" xfId="7" applyFont="1" applyFill="1" applyProtection="1">
      <protection locked="0"/>
    </xf>
    <xf numFmtId="0" fontId="7" fillId="2" borderId="0" xfId="7" applyFont="1" applyFill="1" applyAlignment="1" applyProtection="1">
      <alignment horizontal="right"/>
      <protection locked="0"/>
    </xf>
    <xf numFmtId="0" fontId="7" fillId="2" borderId="0" xfId="7" applyFont="1" applyFill="1" applyAlignment="1" applyProtection="1">
      <alignment horizontal="left" indent="3"/>
      <protection locked="0"/>
    </xf>
    <xf numFmtId="14" fontId="3" fillId="2" borderId="0" xfId="7" applyNumberFormat="1" applyFont="1" applyFill="1" applyAlignment="1" applyProtection="1">
      <alignment horizontal="left"/>
      <protection locked="0"/>
    </xf>
    <xf numFmtId="0" fontId="10" fillId="2" borderId="0" xfId="7" applyFont="1" applyFill="1" applyAlignment="1" applyProtection="1">
      <alignment horizontal="left" indent="3"/>
      <protection locked="0"/>
    </xf>
    <xf numFmtId="0" fontId="3" fillId="2" borderId="0" xfId="7" applyFont="1" applyFill="1"/>
    <xf numFmtId="0" fontId="10" fillId="2" borderId="0" xfId="7" applyFont="1" applyFill="1" applyProtection="1">
      <protection locked="0"/>
    </xf>
    <xf numFmtId="0" fontId="3" fillId="2" borderId="0" xfId="7" applyFont="1" applyFill="1" applyAlignment="1" applyProtection="1">
      <alignment horizontal="center"/>
      <protection locked="0"/>
    </xf>
    <xf numFmtId="0" fontId="10" fillId="2" borderId="0" xfId="7" applyFont="1" applyFill="1" applyAlignment="1" applyProtection="1">
      <alignment horizontal="right"/>
      <protection locked="0"/>
    </xf>
    <xf numFmtId="0" fontId="115" fillId="0" borderId="0" xfId="5" applyFont="1"/>
    <xf numFmtId="0" fontId="16" fillId="2" borderId="0" xfId="7" applyFont="1" applyFill="1" applyProtection="1">
      <protection locked="0"/>
    </xf>
    <xf numFmtId="0" fontId="16" fillId="2" borderId="0" xfId="4" applyFont="1" applyFill="1" applyAlignment="1">
      <protection locked="0"/>
    </xf>
    <xf numFmtId="0" fontId="3" fillId="2" borderId="0" xfId="4" applyFont="1" applyFill="1" applyAlignment="1">
      <protection locked="0"/>
    </xf>
    <xf numFmtId="0" fontId="15" fillId="0" borderId="0" xfId="4" applyFont="1" applyAlignment="1">
      <protection locked="0"/>
    </xf>
    <xf numFmtId="0" fontId="116" fillId="11" borderId="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0" fontId="3" fillId="0" borderId="0" xfId="7" applyFont="1" applyAlignment="1" applyProtection="1">
      <alignment horizontal="center" vertical="center"/>
      <protection locked="0"/>
    </xf>
    <xf numFmtId="0" fontId="7" fillId="0" borderId="7" xfId="7" applyFont="1" applyBorder="1" applyAlignment="1" applyProtection="1">
      <alignment horizontal="center" vertical="center"/>
      <protection locked="0"/>
    </xf>
    <xf numFmtId="166" fontId="3" fillId="9" borderId="7" xfId="7" applyNumberFormat="1" applyFont="1" applyFill="1" applyBorder="1" applyAlignment="1" applyProtection="1">
      <alignment horizontal="right" vertical="center"/>
      <protection locked="0"/>
    </xf>
    <xf numFmtId="0" fontId="7" fillId="2" borderId="0" xfId="7" applyFont="1" applyFill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117" fillId="0" borderId="0" xfId="5" applyFont="1"/>
    <xf numFmtId="49" fontId="3" fillId="0" borderId="0" xfId="5" applyNumberFormat="1" applyFont="1"/>
    <xf numFmtId="0" fontId="3" fillId="2" borderId="0" xfId="7" applyFont="1" applyFill="1" applyAlignment="1" applyProtection="1">
      <alignment horizontal="left" vertical="center"/>
      <protection locked="0"/>
    </xf>
    <xf numFmtId="0" fontId="75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horizontal="left" vertical="center"/>
      <protection locked="0"/>
    </xf>
    <xf numFmtId="0" fontId="7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vertical="center" wrapText="1"/>
      <protection locked="0"/>
    </xf>
    <xf numFmtId="0" fontId="3" fillId="0" borderId="0" xfId="7" applyFont="1" applyProtection="1">
      <protection locked="0"/>
    </xf>
    <xf numFmtId="0" fontId="3" fillId="0" borderId="0" xfId="7" applyFont="1" applyAlignment="1" applyProtection="1">
      <alignment vertical="center" wrapText="1"/>
      <protection locked="0"/>
    </xf>
    <xf numFmtId="0" fontId="3" fillId="0" borderId="0" xfId="7" applyFont="1" applyAlignment="1" applyProtection="1">
      <alignment vertical="center"/>
      <protection locked="0"/>
    </xf>
    <xf numFmtId="0" fontId="3" fillId="0" borderId="0" xfId="7" applyFont="1" applyAlignment="1" applyProtection="1">
      <alignment horizontal="left" vertical="center"/>
      <protection locked="0"/>
    </xf>
    <xf numFmtId="0" fontId="6" fillId="0" borderId="0" xfId="4" applyAlignment="1" applyProtection="1"/>
    <xf numFmtId="0" fontId="3" fillId="0" borderId="0" xfId="5" quotePrefix="1" applyFont="1"/>
    <xf numFmtId="0" fontId="6" fillId="0" borderId="0" xfId="4" applyAlignment="1">
      <protection locked="0"/>
    </xf>
    <xf numFmtId="10" fontId="3" fillId="0" borderId="0" xfId="5" applyNumberFormat="1" applyFont="1"/>
    <xf numFmtId="0" fontId="7" fillId="21" borderId="7" xfId="7" applyFont="1" applyFill="1" applyBorder="1" applyAlignment="1" applyProtection="1">
      <alignment horizontal="center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32" fillId="23" borderId="0" xfId="0" applyFont="1" applyFill="1"/>
    <xf numFmtId="164" fontId="9" fillId="0" borderId="39" xfId="2" applyFont="1" applyBorder="1" applyAlignment="1">
      <alignment horizontal="left" vertical="center"/>
    </xf>
    <xf numFmtId="164" fontId="9" fillId="0" borderId="39" xfId="2" applyFont="1" applyBorder="1" applyAlignment="1">
      <alignment horizontal="right" vertical="center"/>
    </xf>
    <xf numFmtId="0" fontId="9" fillId="0" borderId="40" xfId="0" applyFont="1" applyBorder="1" applyAlignment="1">
      <alignment horizontal="left" vertical="center"/>
    </xf>
    <xf numFmtId="0" fontId="85" fillId="21" borderId="0" xfId="0" applyFont="1" applyFill="1" applyAlignment="1">
      <alignment vertical="center"/>
    </xf>
    <xf numFmtId="164" fontId="9" fillId="0" borderId="48" xfId="2" applyFont="1" applyBorder="1" applyAlignment="1">
      <alignment horizontal="left" vertical="center"/>
    </xf>
    <xf numFmtId="168" fontId="85" fillId="21" borderId="0" xfId="1" applyNumberFormat="1" applyFont="1" applyFill="1" applyAlignment="1">
      <alignment horizontal="left" vertical="center"/>
    </xf>
    <xf numFmtId="164" fontId="85" fillId="21" borderId="0" xfId="2" applyFont="1" applyFill="1" applyAlignment="1">
      <alignment horizontal="left" vertical="center"/>
    </xf>
    <xf numFmtId="164" fontId="85" fillId="21" borderId="0" xfId="2" applyFont="1" applyFill="1" applyAlignment="1">
      <alignment horizontal="right" vertical="center"/>
    </xf>
    <xf numFmtId="0" fontId="85" fillId="21" borderId="0" xfId="0" applyFont="1" applyFill="1" applyAlignment="1">
      <alignment horizontal="left" vertical="center"/>
    </xf>
    <xf numFmtId="0" fontId="86" fillId="21" borderId="0" xfId="0" applyFont="1" applyFill="1" applyAlignment="1">
      <alignment vertical="center"/>
    </xf>
    <xf numFmtId="0" fontId="40" fillId="21" borderId="0" xfId="0" applyFont="1" applyFill="1" applyAlignment="1">
      <alignment vertical="center"/>
    </xf>
    <xf numFmtId="164" fontId="9" fillId="0" borderId="48" xfId="2" applyFont="1" applyBorder="1" applyAlignment="1">
      <alignment horizontal="right" vertical="center"/>
    </xf>
    <xf numFmtId="0" fontId="9" fillId="0" borderId="49" xfId="0" applyFont="1" applyBorder="1" applyAlignment="1">
      <alignment horizontal="left" vertical="center"/>
    </xf>
    <xf numFmtId="0" fontId="9" fillId="21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164" fontId="85" fillId="21" borderId="0" xfId="2" applyFont="1" applyFill="1" applyAlignment="1">
      <alignment horizontal="center" vertical="center"/>
    </xf>
    <xf numFmtId="0" fontId="85" fillId="21" borderId="0" xfId="2" applyNumberFormat="1" applyFont="1" applyFill="1" applyAlignment="1">
      <alignment horizontal="left" vertical="center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85" fillId="21" borderId="92" xfId="0" applyFont="1" applyFill="1" applyBorder="1" applyAlignment="1">
      <alignment vertical="center"/>
    </xf>
    <xf numFmtId="0" fontId="40" fillId="21" borderId="36" xfId="0" applyFont="1" applyFill="1" applyBorder="1" applyAlignment="1">
      <alignment vertical="center"/>
    </xf>
    <xf numFmtId="164" fontId="9" fillId="6" borderId="48" xfId="2" applyFont="1" applyFill="1" applyBorder="1" applyAlignment="1">
      <alignment horizontal="left" vertical="center"/>
    </xf>
    <xf numFmtId="164" fontId="9" fillId="6" borderId="48" xfId="2" applyFont="1" applyFill="1" applyBorder="1" applyAlignment="1">
      <alignment horizontal="right" vertical="center"/>
    </xf>
    <xf numFmtId="0" fontId="9" fillId="6" borderId="49" xfId="0" applyFont="1" applyFill="1" applyBorder="1" applyAlignment="1">
      <alignment horizontal="left" vertical="center"/>
    </xf>
    <xf numFmtId="168" fontId="85" fillId="21" borderId="0" xfId="2" applyNumberFormat="1" applyFont="1" applyFill="1" applyAlignment="1">
      <alignment horizontal="center" vertical="center"/>
    </xf>
    <xf numFmtId="0" fontId="87" fillId="21" borderId="0" xfId="0" applyFont="1" applyFill="1" applyAlignment="1" applyProtection="1">
      <alignment horizontal="center" vertical="center"/>
      <protection locked="0"/>
    </xf>
    <xf numFmtId="164" fontId="4" fillId="0" borderId="48" xfId="2" applyFont="1" applyBorder="1" applyAlignment="1">
      <alignment horizontal="left" vertical="center"/>
    </xf>
    <xf numFmtId="164" fontId="4" fillId="0" borderId="48" xfId="2" applyFont="1" applyBorder="1" applyAlignment="1">
      <alignment horizontal="right" vertical="center"/>
    </xf>
    <xf numFmtId="0" fontId="4" fillId="6" borderId="49" xfId="0" applyFont="1" applyFill="1" applyBorder="1" applyAlignment="1">
      <alignment horizontal="left" vertical="center"/>
    </xf>
    <xf numFmtId="1" fontId="55" fillId="21" borderId="0" xfId="0" applyNumberFormat="1" applyFont="1" applyFill="1" applyAlignment="1">
      <alignment horizontal="center" vertical="center"/>
    </xf>
    <xf numFmtId="0" fontId="3" fillId="0" borderId="0" xfId="7" applyFont="1" applyAlignment="1" applyProtection="1">
      <alignment horizontal="center"/>
      <protection locked="0"/>
    </xf>
    <xf numFmtId="0" fontId="9" fillId="2" borderId="29" xfId="7" applyFont="1" applyFill="1" applyBorder="1" applyAlignment="1" applyProtection="1">
      <alignment horizontal="left" vertical="center"/>
      <protection locked="0"/>
    </xf>
    <xf numFmtId="0" fontId="9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Protection="1">
      <protection locked="0"/>
    </xf>
    <xf numFmtId="0" fontId="75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4" fillId="22" borderId="7" xfId="0" applyFont="1" applyFill="1" applyBorder="1" applyAlignment="1">
      <alignment horizontal="left"/>
    </xf>
    <xf numFmtId="1" fontId="3" fillId="2" borderId="0" xfId="7" applyNumberFormat="1" applyFont="1" applyFill="1" applyAlignment="1" applyProtection="1">
      <alignment horizontal="left"/>
      <protection locked="0"/>
    </xf>
    <xf numFmtId="0" fontId="84" fillId="21" borderId="0" xfId="0" applyFont="1" applyFill="1" applyAlignment="1" applyProtection="1">
      <alignment horizontal="center"/>
      <protection locked="0"/>
    </xf>
    <xf numFmtId="169" fontId="9" fillId="0" borderId="47" xfId="1" applyNumberFormat="1" applyFont="1" applyBorder="1" applyAlignment="1">
      <alignment horizontal="left" vertical="center"/>
    </xf>
    <xf numFmtId="169" fontId="4" fillId="0" borderId="47" xfId="1" applyNumberFormat="1" applyFont="1" applyBorder="1" applyAlignment="1">
      <alignment horizontal="left" vertical="center"/>
    </xf>
    <xf numFmtId="169" fontId="9" fillId="0" borderId="38" xfId="1" applyNumberFormat="1" applyFont="1" applyBorder="1" applyAlignment="1">
      <alignment horizontal="left" vertical="center"/>
    </xf>
    <xf numFmtId="169" fontId="9" fillId="6" borderId="47" xfId="1" applyNumberFormat="1" applyFont="1" applyFill="1" applyBorder="1" applyAlignment="1">
      <alignment horizontal="left" vertical="center"/>
    </xf>
    <xf numFmtId="169" fontId="9" fillId="0" borderId="31" xfId="1" applyNumberFormat="1" applyFont="1" applyBorder="1" applyAlignment="1">
      <alignment horizontal="left" vertical="center"/>
    </xf>
    <xf numFmtId="169" fontId="9" fillId="0" borderId="0" xfId="1" applyNumberFormat="1" applyFont="1" applyAlignment="1">
      <alignment horizontal="left" vertical="center"/>
    </xf>
    <xf numFmtId="169" fontId="9" fillId="0" borderId="47" xfId="1" applyNumberFormat="1" applyFont="1" applyBorder="1" applyAlignment="1">
      <alignment horizontal="right" vertical="center"/>
    </xf>
    <xf numFmtId="169" fontId="3" fillId="2" borderId="7" xfId="3" applyNumberFormat="1" applyFont="1" applyFill="1" applyBorder="1" applyAlignment="1" applyProtection="1">
      <alignment horizontal="right" vertical="center"/>
      <protection locked="0"/>
    </xf>
    <xf numFmtId="169" fontId="3" fillId="9" borderId="7" xfId="7" applyNumberFormat="1" applyFont="1" applyFill="1" applyBorder="1" applyAlignment="1" applyProtection="1">
      <alignment horizontal="right" vertical="center"/>
      <protection locked="0"/>
    </xf>
    <xf numFmtId="169" fontId="7" fillId="9" borderId="7" xfId="7" applyNumberFormat="1" applyFont="1" applyFill="1" applyBorder="1" applyAlignment="1">
      <alignment horizontal="right" vertical="center"/>
    </xf>
    <xf numFmtId="169" fontId="3" fillId="9" borderId="7" xfId="7" applyNumberFormat="1" applyFont="1" applyFill="1" applyBorder="1" applyAlignment="1">
      <alignment horizontal="right" vertical="center"/>
    </xf>
    <xf numFmtId="169" fontId="81" fillId="21" borderId="0" xfId="2" applyNumberFormat="1" applyFont="1" applyFill="1" applyAlignment="1">
      <alignment horizontal="center"/>
    </xf>
    <xf numFmtId="169" fontId="81" fillId="6" borderId="0" xfId="2" applyNumberFormat="1" applyFont="1" applyFill="1" applyAlignment="1">
      <alignment horizontal="center"/>
    </xf>
    <xf numFmtId="0" fontId="84" fillId="6" borderId="0" xfId="0" applyFont="1" applyFill="1" applyAlignment="1" applyProtection="1">
      <alignment horizontal="center"/>
      <protection locked="0"/>
    </xf>
    <xf numFmtId="0" fontId="85" fillId="6" borderId="0" xfId="0" applyFont="1" applyFill="1"/>
    <xf numFmtId="0" fontId="3" fillId="22" borderId="7" xfId="0" applyFont="1" applyFill="1" applyBorder="1"/>
    <xf numFmtId="0" fontId="82" fillId="0" borderId="34" xfId="0" applyFont="1" applyBorder="1" applyAlignment="1">
      <alignment horizontal="right" vertical="center" indent="1"/>
    </xf>
    <xf numFmtId="0" fontId="103" fillId="0" borderId="0" xfId="0" applyFont="1" applyAlignment="1" applyProtection="1">
      <alignment horizontal="center" vertical="center"/>
      <protection locked="0"/>
    </xf>
    <xf numFmtId="0" fontId="102" fillId="23" borderId="0" xfId="0" applyFont="1" applyFill="1" applyAlignment="1">
      <alignment horizontal="left" vertical="center"/>
    </xf>
    <xf numFmtId="0" fontId="122" fillId="0" borderId="34" xfId="0" applyFont="1" applyBorder="1" applyAlignment="1" applyProtection="1">
      <alignment horizontal="center" vertical="center"/>
      <protection locked="0"/>
    </xf>
    <xf numFmtId="0" fontId="45" fillId="0" borderId="7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1" fontId="45" fillId="0" borderId="7" xfId="0" applyNumberFormat="1" applyFont="1" applyBorder="1"/>
    <xf numFmtId="0" fontId="125" fillId="10" borderId="7" xfId="0" applyFont="1" applyFill="1" applyBorder="1"/>
    <xf numFmtId="0" fontId="45" fillId="21" borderId="7" xfId="0" applyFont="1" applyFill="1" applyBorder="1" applyAlignment="1">
      <alignment horizontal="center"/>
    </xf>
    <xf numFmtId="0" fontId="33" fillId="21" borderId="7" xfId="0" applyFont="1" applyFill="1" applyBorder="1"/>
    <xf numFmtId="0" fontId="45" fillId="21" borderId="7" xfId="0" applyFont="1" applyFill="1" applyBorder="1"/>
    <xf numFmtId="166" fontId="54" fillId="21" borderId="7" xfId="0" applyNumberFormat="1" applyFont="1" applyFill="1" applyBorder="1"/>
    <xf numFmtId="0" fontId="54" fillId="21" borderId="7" xfId="0" applyFont="1" applyFill="1" applyBorder="1"/>
    <xf numFmtId="2" fontId="33" fillId="21" borderId="7" xfId="0" applyNumberFormat="1" applyFont="1" applyFill="1" applyBorder="1"/>
    <xf numFmtId="0" fontId="43" fillId="21" borderId="24" xfId="0" applyFont="1" applyFill="1" applyBorder="1"/>
    <xf numFmtId="166" fontId="43" fillId="21" borderId="0" xfId="0" applyNumberFormat="1" applyFont="1" applyFill="1"/>
    <xf numFmtId="167" fontId="54" fillId="24" borderId="7" xfId="0" applyNumberFormat="1" applyFont="1" applyFill="1" applyBorder="1"/>
    <xf numFmtId="0" fontId="132" fillId="0" borderId="39" xfId="0" applyFont="1" applyBorder="1" applyAlignment="1">
      <alignment horizontal="center"/>
    </xf>
    <xf numFmtId="169" fontId="9" fillId="21" borderId="0" xfId="1" applyNumberFormat="1" applyFont="1" applyFill="1" applyAlignment="1">
      <alignment horizontal="left" vertical="center"/>
    </xf>
    <xf numFmtId="164" fontId="9" fillId="21" borderId="0" xfId="2" applyFont="1" applyFill="1" applyAlignment="1">
      <alignment horizontal="left" vertical="center"/>
    </xf>
    <xf numFmtId="164" fontId="9" fillId="21" borderId="0" xfId="2" applyFont="1" applyFill="1" applyAlignment="1">
      <alignment horizontal="right" vertical="center"/>
    </xf>
    <xf numFmtId="0" fontId="9" fillId="21" borderId="0" xfId="0" applyFont="1" applyFill="1" applyAlignment="1">
      <alignment horizontal="left" vertical="center"/>
    </xf>
    <xf numFmtId="0" fontId="85" fillId="21" borderId="36" xfId="0" applyFont="1" applyFill="1" applyBorder="1" applyAlignment="1">
      <alignment vertical="center"/>
    </xf>
    <xf numFmtId="164" fontId="85" fillId="21" borderId="39" xfId="2" applyFont="1" applyFill="1" applyBorder="1" applyAlignment="1">
      <alignment horizontal="right"/>
    </xf>
    <xf numFmtId="0" fontId="85" fillId="21" borderId="39" xfId="2" applyNumberFormat="1" applyFont="1" applyFill="1" applyBorder="1" applyAlignment="1">
      <alignment horizontal="left"/>
    </xf>
    <xf numFmtId="167" fontId="17" fillId="21" borderId="25" xfId="6" applyNumberFormat="1" applyFont="1" applyFill="1" applyBorder="1" applyAlignment="1">
      <alignment horizontal="right" vertical="center"/>
    </xf>
    <xf numFmtId="167" fontId="54" fillId="22" borderId="24" xfId="0" applyNumberFormat="1" applyFont="1" applyFill="1" applyBorder="1"/>
    <xf numFmtId="167" fontId="4" fillId="21" borderId="7" xfId="6" applyNumberFormat="1" applyFont="1" applyFill="1" applyBorder="1" applyAlignment="1">
      <alignment horizontal="right" vertical="center"/>
    </xf>
    <xf numFmtId="0" fontId="9" fillId="0" borderId="39" xfId="0" applyFont="1" applyBorder="1" applyAlignment="1">
      <alignment horizontal="left" vertical="center"/>
    </xf>
    <xf numFmtId="169" fontId="9" fillId="0" borderId="39" xfId="1" applyNumberFormat="1" applyFont="1" applyBorder="1" applyAlignment="1">
      <alignment horizontal="left" vertical="center"/>
    </xf>
    <xf numFmtId="167" fontId="4" fillId="8" borderId="25" xfId="6" applyNumberFormat="1" applyFont="1" applyFill="1" applyBorder="1" applyAlignment="1">
      <alignment horizontal="right" vertical="center"/>
    </xf>
    <xf numFmtId="167" fontId="17" fillId="8" borderId="25" xfId="6" applyNumberFormat="1" applyFont="1" applyFill="1" applyBorder="1" applyAlignment="1">
      <alignment horizontal="right" vertical="center"/>
    </xf>
    <xf numFmtId="167" fontId="54" fillId="8" borderId="7" xfId="0" applyNumberFormat="1" applyFont="1" applyFill="1" applyBorder="1"/>
    <xf numFmtId="0" fontId="33" fillId="25" borderId="7" xfId="0" applyFont="1" applyFill="1" applyBorder="1"/>
    <xf numFmtId="0" fontId="45" fillId="25" borderId="7" xfId="0" applyFont="1" applyFill="1" applyBorder="1"/>
    <xf numFmtId="166" fontId="54" fillId="25" borderId="7" xfId="0" applyNumberFormat="1" applyFont="1" applyFill="1" applyBorder="1"/>
    <xf numFmtId="167" fontId="54" fillId="25" borderId="7" xfId="0" applyNumberFormat="1" applyFont="1" applyFill="1" applyBorder="1"/>
    <xf numFmtId="0" fontId="54" fillId="25" borderId="7" xfId="0" applyFont="1" applyFill="1" applyBorder="1"/>
    <xf numFmtId="2" fontId="33" fillId="25" borderId="7" xfId="0" applyNumberFormat="1" applyFont="1" applyFill="1" applyBorder="1"/>
    <xf numFmtId="0" fontId="33" fillId="25" borderId="7" xfId="0" quotePrefix="1" applyFont="1" applyFill="1" applyBorder="1"/>
    <xf numFmtId="0" fontId="9" fillId="0" borderId="40" xfId="0" applyFont="1" applyFill="1" applyBorder="1" applyAlignment="1">
      <alignment horizontal="left" vertical="center"/>
    </xf>
    <xf numFmtId="0" fontId="85" fillId="0" borderId="0" xfId="0" applyFont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37" xfId="0" applyFont="1" applyBorder="1"/>
    <xf numFmtId="0" fontId="81" fillId="6" borderId="0" xfId="0" applyFont="1" applyFill="1"/>
    <xf numFmtId="169" fontId="9" fillId="21" borderId="0" xfId="1" applyNumberFormat="1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right" vertical="center"/>
    </xf>
    <xf numFmtId="0" fontId="9" fillId="21" borderId="0" xfId="0" applyFont="1" applyFill="1" applyBorder="1" applyAlignment="1">
      <alignment horizontal="left" vertical="center"/>
    </xf>
    <xf numFmtId="0" fontId="85" fillId="21" borderId="0" xfId="0" applyFont="1" applyFill="1" applyBorder="1"/>
    <xf numFmtId="167" fontId="54" fillId="6" borderId="7" xfId="0" applyNumberFormat="1" applyFont="1" applyFill="1" applyBorder="1" applyAlignment="1">
      <alignment horizontal="right"/>
    </xf>
    <xf numFmtId="0" fontId="85" fillId="21" borderId="0" xfId="0" applyFont="1" applyFill="1" applyBorder="1" applyProtection="1"/>
    <xf numFmtId="0" fontId="87" fillId="21" borderId="0" xfId="0" applyFont="1" applyFill="1" applyBorder="1" applyProtection="1"/>
    <xf numFmtId="169" fontId="4" fillId="0" borderId="47" xfId="1" applyNumberFormat="1" applyFont="1" applyFill="1" applyBorder="1" applyAlignment="1" applyProtection="1">
      <alignment horizontal="left" vertical="center"/>
    </xf>
    <xf numFmtId="164" fontId="9" fillId="0" borderId="48" xfId="2" applyFont="1" applyBorder="1" applyAlignment="1" applyProtection="1">
      <alignment horizontal="left" vertical="center"/>
    </xf>
    <xf numFmtId="164" fontId="9" fillId="0" borderId="48" xfId="2" applyFont="1" applyFill="1" applyBorder="1" applyAlignment="1" applyProtection="1">
      <alignment horizontal="right" vertical="center"/>
    </xf>
    <xf numFmtId="0" fontId="9" fillId="0" borderId="49" xfId="0" applyFont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169" fontId="9" fillId="0" borderId="47" xfId="1" applyNumberFormat="1" applyFont="1" applyFill="1" applyBorder="1" applyAlignment="1" applyProtection="1">
      <alignment horizontal="left" vertic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45" fillId="6" borderId="7" xfId="0" applyFont="1" applyFill="1" applyBorder="1" applyAlignment="1">
      <alignment horizontal="center"/>
    </xf>
    <xf numFmtId="167" fontId="54" fillId="21" borderId="7" xfId="0" applyNumberFormat="1" applyFont="1" applyFill="1" applyBorder="1"/>
    <xf numFmtId="0" fontId="33" fillId="21" borderId="0" xfId="0" applyFont="1" applyFill="1" applyBorder="1"/>
    <xf numFmtId="168" fontId="9" fillId="21" borderId="0" xfId="1" applyNumberFormat="1" applyFont="1" applyFill="1" applyBorder="1" applyAlignment="1">
      <alignment horizontal="left"/>
    </xf>
    <xf numFmtId="164" fontId="9" fillId="21" borderId="0" xfId="2" applyFont="1" applyFill="1" applyBorder="1" applyAlignment="1">
      <alignment horizontal="left"/>
    </xf>
    <xf numFmtId="164" fontId="9" fillId="21" borderId="0" xfId="2" applyFont="1" applyFill="1" applyBorder="1" applyAlignment="1">
      <alignment horizontal="right"/>
    </xf>
    <xf numFmtId="0" fontId="9" fillId="21" borderId="0" xfId="0" applyFont="1" applyFill="1" applyBorder="1" applyAlignment="1">
      <alignment horizontal="left"/>
    </xf>
    <xf numFmtId="0" fontId="3" fillId="21" borderId="0" xfId="0" applyFont="1" applyFill="1" applyBorder="1"/>
    <xf numFmtId="0" fontId="9" fillId="21" borderId="0" xfId="2" applyNumberFormat="1" applyFont="1" applyFill="1" applyBorder="1" applyAlignment="1">
      <alignment horizontal="center"/>
    </xf>
    <xf numFmtId="0" fontId="9" fillId="21" borderId="0" xfId="2" applyNumberFormat="1" applyFont="1" applyFill="1" applyBorder="1" applyAlignment="1">
      <alignment horizontal="right"/>
    </xf>
    <xf numFmtId="0" fontId="9" fillId="21" borderId="0" xfId="2" applyNumberFormat="1" applyFont="1" applyFill="1" applyBorder="1" applyAlignment="1">
      <alignment horizontal="left"/>
    </xf>
    <xf numFmtId="0" fontId="60" fillId="21" borderId="0" xfId="0" applyFont="1" applyFill="1" applyBorder="1" applyAlignment="1">
      <alignment horizontal="center" vertical="center" textRotation="90"/>
    </xf>
    <xf numFmtId="164" fontId="3" fillId="21" borderId="0" xfId="2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40" fillId="21" borderId="0" xfId="0" applyFont="1" applyFill="1" applyBorder="1"/>
    <xf numFmtId="164" fontId="3" fillId="21" borderId="0" xfId="2" applyFill="1" applyBorder="1" applyAlignment="1">
      <alignment horizontal="right"/>
    </xf>
    <xf numFmtId="0" fontId="3" fillId="21" borderId="0" xfId="0" applyFont="1" applyFill="1" applyBorder="1" applyAlignment="1">
      <alignment horizontal="left"/>
    </xf>
    <xf numFmtId="0" fontId="9" fillId="21" borderId="0" xfId="0" applyFont="1" applyFill="1" applyBorder="1"/>
    <xf numFmtId="164" fontId="9" fillId="21" borderId="0" xfId="2" applyFont="1" applyFill="1" applyBorder="1" applyAlignment="1">
      <alignment horizontal="center"/>
    </xf>
    <xf numFmtId="0" fontId="1" fillId="0" borderId="0" xfId="11"/>
    <xf numFmtId="0" fontId="85" fillId="0" borderId="38" xfId="0" applyFont="1" applyBorder="1" applyAlignment="1">
      <alignment horizontal="center"/>
    </xf>
    <xf numFmtId="0" fontId="85" fillId="0" borderId="39" xfId="0" applyFont="1" applyBorder="1" applyAlignment="1">
      <alignment horizontal="center"/>
    </xf>
    <xf numFmtId="0" fontId="85" fillId="0" borderId="40" xfId="0" applyFont="1" applyBorder="1" applyAlignment="1">
      <alignment horizontal="center"/>
    </xf>
    <xf numFmtId="0" fontId="81" fillId="20" borderId="33" xfId="0" applyFont="1" applyFill="1" applyBorder="1" applyAlignment="1">
      <alignment horizontal="center"/>
    </xf>
    <xf numFmtId="0" fontId="81" fillId="20" borderId="34" xfId="0" applyFont="1" applyFill="1" applyBorder="1" applyAlignment="1">
      <alignment horizontal="center"/>
    </xf>
    <xf numFmtId="0" fontId="81" fillId="20" borderId="35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/>
    </xf>
    <xf numFmtId="0" fontId="86" fillId="11" borderId="28" xfId="0" applyFont="1" applyFill="1" applyBorder="1" applyAlignment="1">
      <alignment horizontal="center" vertical="center" wrapText="1"/>
    </xf>
    <xf numFmtId="0" fontId="86" fillId="11" borderId="3" xfId="0" applyFont="1" applyFill="1" applyBorder="1" applyAlignment="1">
      <alignment horizontal="center" vertical="center" wrapText="1"/>
    </xf>
    <xf numFmtId="0" fontId="86" fillId="11" borderId="4" xfId="0" applyFont="1" applyFill="1" applyBorder="1" applyAlignment="1">
      <alignment horizontal="center" vertical="center" wrapText="1"/>
    </xf>
    <xf numFmtId="0" fontId="86" fillId="11" borderId="29" xfId="0" applyFont="1" applyFill="1" applyBorder="1" applyAlignment="1">
      <alignment horizontal="center" vertical="center" wrapText="1"/>
    </xf>
    <xf numFmtId="169" fontId="81" fillId="0" borderId="102" xfId="2" applyNumberFormat="1" applyFont="1" applyBorder="1" applyAlignment="1">
      <alignment horizontal="center"/>
    </xf>
    <xf numFmtId="169" fontId="81" fillId="0" borderId="39" xfId="2" applyNumberFormat="1" applyFont="1" applyBorder="1" applyAlignment="1">
      <alignment horizontal="center"/>
    </xf>
    <xf numFmtId="0" fontId="84" fillId="21" borderId="102" xfId="0" applyFont="1" applyFill="1" applyBorder="1" applyAlignment="1" applyProtection="1">
      <alignment horizontal="center"/>
      <protection locked="0"/>
    </xf>
    <xf numFmtId="0" fontId="84" fillId="21" borderId="103" xfId="0" applyFont="1" applyFill="1" applyBorder="1" applyAlignment="1" applyProtection="1">
      <alignment horizontal="center"/>
      <protection locked="0"/>
    </xf>
    <xf numFmtId="169" fontId="81" fillId="0" borderId="103" xfId="2" applyNumberFormat="1" applyFont="1" applyBorder="1" applyAlignment="1">
      <alignment horizontal="center"/>
    </xf>
    <xf numFmtId="0" fontId="85" fillId="21" borderId="0" xfId="0" applyFont="1" applyFill="1" applyAlignment="1">
      <alignment horizontal="center"/>
    </xf>
    <xf numFmtId="169" fontId="81" fillId="0" borderId="63" xfId="2" applyNumberFormat="1" applyFont="1" applyBorder="1" applyAlignment="1">
      <alignment horizontal="center"/>
    </xf>
    <xf numFmtId="169" fontId="81" fillId="0" borderId="124" xfId="2" applyNumberFormat="1" applyFont="1" applyBorder="1" applyAlignment="1">
      <alignment horizontal="center"/>
    </xf>
    <xf numFmtId="0" fontId="84" fillId="21" borderId="63" xfId="0" applyFont="1" applyFill="1" applyBorder="1" applyAlignment="1" applyProtection="1">
      <alignment horizontal="center"/>
      <protection locked="0"/>
    </xf>
    <xf numFmtId="0" fontId="84" fillId="21" borderId="88" xfId="0" applyFont="1" applyFill="1" applyBorder="1" applyAlignment="1" applyProtection="1">
      <alignment horizontal="center"/>
      <protection locked="0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1" fillId="20" borderId="60" xfId="0" applyFont="1" applyFill="1" applyBorder="1" applyAlignment="1">
      <alignment horizontal="center"/>
    </xf>
    <xf numFmtId="0" fontId="81" fillId="20" borderId="61" xfId="0" applyFont="1" applyFill="1" applyBorder="1" applyAlignment="1">
      <alignment horizontal="center"/>
    </xf>
    <xf numFmtId="0" fontId="81" fillId="20" borderId="62" xfId="0" applyFont="1" applyFill="1" applyBorder="1" applyAlignment="1">
      <alignment horizontal="center"/>
    </xf>
    <xf numFmtId="169" fontId="81" fillId="0" borderId="38" xfId="2" applyNumberFormat="1" applyFont="1" applyBorder="1" applyAlignment="1">
      <alignment horizontal="center"/>
    </xf>
    <xf numFmtId="0" fontId="84" fillId="21" borderId="47" xfId="0" applyFont="1" applyFill="1" applyBorder="1" applyAlignment="1" applyProtection="1">
      <alignment horizontal="center"/>
      <protection locked="0"/>
    </xf>
    <xf numFmtId="0" fontId="84" fillId="21" borderId="49" xfId="0" applyFont="1" applyFill="1" applyBorder="1" applyAlignment="1" applyProtection="1">
      <alignment horizontal="center"/>
      <protection locked="0"/>
    </xf>
    <xf numFmtId="0" fontId="86" fillId="11" borderId="5" xfId="0" applyFont="1" applyFill="1" applyBorder="1" applyAlignment="1">
      <alignment horizontal="center" vertical="center" wrapText="1"/>
    </xf>
    <xf numFmtId="0" fontId="86" fillId="11" borderId="0" xfId="0" applyFont="1" applyFill="1" applyAlignment="1">
      <alignment horizontal="center" vertical="center" wrapText="1"/>
    </xf>
    <xf numFmtId="0" fontId="86" fillId="11" borderId="6" xfId="0" applyFont="1" applyFill="1" applyBorder="1" applyAlignment="1">
      <alignment horizontal="center" vertical="center" wrapText="1"/>
    </xf>
    <xf numFmtId="169" fontId="81" fillId="0" borderId="115" xfId="2" applyNumberFormat="1" applyFont="1" applyBorder="1" applyAlignment="1">
      <alignment horizontal="center"/>
    </xf>
    <xf numFmtId="169" fontId="81" fillId="0" borderId="87" xfId="2" applyNumberFormat="1" applyFont="1" applyBorder="1" applyAlignment="1">
      <alignment horizontal="center"/>
    </xf>
    <xf numFmtId="0" fontId="81" fillId="21" borderId="0" xfId="0" applyFont="1" applyFill="1" applyAlignment="1">
      <alignment horizontal="center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169" fontId="81" fillId="0" borderId="73" xfId="2" applyNumberFormat="1" applyFont="1" applyBorder="1" applyAlignment="1">
      <alignment horizontal="center"/>
    </xf>
    <xf numFmtId="169" fontId="81" fillId="0" borderId="74" xfId="2" applyNumberFormat="1" applyFont="1" applyBorder="1" applyAlignment="1">
      <alignment horizontal="center"/>
    </xf>
    <xf numFmtId="0" fontId="84" fillId="21" borderId="80" xfId="0" applyFont="1" applyFill="1" applyBorder="1" applyAlignment="1" applyProtection="1">
      <alignment horizontal="center"/>
      <protection locked="0"/>
    </xf>
    <xf numFmtId="0" fontId="84" fillId="21" borderId="77" xfId="0" applyFont="1" applyFill="1" applyBorder="1" applyAlignment="1" applyProtection="1">
      <alignment horizontal="center"/>
      <protection locked="0"/>
    </xf>
    <xf numFmtId="0" fontId="86" fillId="11" borderId="27" xfId="0" applyFont="1" applyFill="1" applyBorder="1" applyAlignment="1">
      <alignment horizontal="center" wrapText="1"/>
    </xf>
    <xf numFmtId="0" fontId="86" fillId="11" borderId="28" xfId="0" applyFont="1" applyFill="1" applyBorder="1" applyAlignment="1">
      <alignment horizontal="center" wrapText="1"/>
    </xf>
    <xf numFmtId="0" fontId="86" fillId="11" borderId="29" xfId="0" applyFont="1" applyFill="1" applyBorder="1" applyAlignment="1">
      <alignment horizontal="center" wrapText="1"/>
    </xf>
    <xf numFmtId="0" fontId="85" fillId="0" borderId="31" xfId="0" applyFont="1" applyBorder="1" applyAlignment="1">
      <alignment horizontal="center"/>
    </xf>
    <xf numFmtId="0" fontId="84" fillId="21" borderId="6" xfId="0" applyFont="1" applyFill="1" applyBorder="1" applyAlignment="1" applyProtection="1">
      <alignment horizontal="center"/>
      <protection locked="0"/>
    </xf>
    <xf numFmtId="0" fontId="84" fillId="21" borderId="104" xfId="0" applyFont="1" applyFill="1" applyBorder="1" applyAlignment="1" applyProtection="1">
      <alignment horizontal="center"/>
      <protection locked="0"/>
    </xf>
    <xf numFmtId="0" fontId="84" fillId="21" borderId="71" xfId="0" applyFont="1" applyFill="1" applyBorder="1" applyAlignment="1" applyProtection="1">
      <alignment horizontal="center"/>
      <protection locked="0"/>
    </xf>
    <xf numFmtId="0" fontId="84" fillId="21" borderId="114" xfId="0" applyFont="1" applyFill="1" applyBorder="1" applyAlignment="1" applyProtection="1">
      <alignment horizontal="center"/>
      <protection locked="0"/>
    </xf>
    <xf numFmtId="0" fontId="81" fillId="20" borderId="36" xfId="0" applyFont="1" applyFill="1" applyBorder="1" applyAlignment="1">
      <alignment horizontal="center"/>
    </xf>
    <xf numFmtId="0" fontId="81" fillId="20" borderId="0" xfId="0" applyFont="1" applyFill="1" applyAlignment="1">
      <alignment horizontal="center"/>
    </xf>
    <xf numFmtId="0" fontId="81" fillId="20" borderId="37" xfId="0" applyFont="1" applyFill="1" applyBorder="1" applyAlignment="1">
      <alignment horizontal="center"/>
    </xf>
    <xf numFmtId="169" fontId="102" fillId="23" borderId="0" xfId="0" applyNumberFormat="1" applyFont="1" applyFill="1" applyAlignment="1">
      <alignment horizontal="center" vertical="center"/>
    </xf>
    <xf numFmtId="0" fontId="81" fillId="20" borderId="57" xfId="0" applyFont="1" applyFill="1" applyBorder="1" applyAlignment="1">
      <alignment horizontal="center"/>
    </xf>
    <xf numFmtId="0" fontId="81" fillId="20" borderId="58" xfId="0" applyFont="1" applyFill="1" applyBorder="1" applyAlignment="1">
      <alignment horizontal="center"/>
    </xf>
    <xf numFmtId="0" fontId="81" fillId="20" borderId="59" xfId="0" applyFont="1" applyFill="1" applyBorder="1" applyAlignment="1">
      <alignment horizontal="center"/>
    </xf>
    <xf numFmtId="169" fontId="81" fillId="0" borderId="60" xfId="2" applyNumberFormat="1" applyFont="1" applyBorder="1" applyAlignment="1">
      <alignment horizontal="center"/>
    </xf>
    <xf numFmtId="169" fontId="81" fillId="0" borderId="62" xfId="2" applyNumberFormat="1" applyFont="1" applyBorder="1" applyAlignment="1">
      <alignment horizontal="center"/>
    </xf>
    <xf numFmtId="169" fontId="81" fillId="0" borderId="57" xfId="2" applyNumberFormat="1" applyFont="1" applyBorder="1" applyAlignment="1">
      <alignment horizontal="center"/>
    </xf>
    <xf numFmtId="169" fontId="81" fillId="0" borderId="106" xfId="2" applyNumberFormat="1" applyFont="1" applyBorder="1" applyAlignment="1">
      <alignment horizontal="center"/>
    </xf>
    <xf numFmtId="0" fontId="86" fillId="11" borderId="7" xfId="0" applyFont="1" applyFill="1" applyBorder="1" applyAlignment="1">
      <alignment horizontal="center" wrapText="1"/>
    </xf>
    <xf numFmtId="0" fontId="86" fillId="11" borderId="23" xfId="0" applyFont="1" applyFill="1" applyBorder="1" applyAlignment="1">
      <alignment horizontal="center" wrapText="1"/>
    </xf>
    <xf numFmtId="0" fontId="86" fillId="11" borderId="3" xfId="0" applyFont="1" applyFill="1" applyBorder="1" applyAlignment="1">
      <alignment horizontal="center" wrapText="1"/>
    </xf>
    <xf numFmtId="0" fontId="86" fillId="11" borderId="4" xfId="0" applyFont="1" applyFill="1" applyBorder="1" applyAlignment="1">
      <alignment horizontal="center" wrapText="1"/>
    </xf>
    <xf numFmtId="169" fontId="81" fillId="0" borderId="117" xfId="3" applyNumberFormat="1" applyFont="1" applyBorder="1" applyAlignment="1">
      <alignment horizontal="center"/>
    </xf>
    <xf numFmtId="169" fontId="81" fillId="0" borderId="87" xfId="3" applyNumberFormat="1" applyFont="1" applyBorder="1" applyAlignment="1">
      <alignment horizontal="center"/>
    </xf>
    <xf numFmtId="0" fontId="81" fillId="20" borderId="60" xfId="0" applyNumberFormat="1" applyFont="1" applyFill="1" applyBorder="1" applyAlignment="1" applyProtection="1">
      <alignment horizontal="center"/>
    </xf>
    <xf numFmtId="0" fontId="81" fillId="20" borderId="61" xfId="0" applyNumberFormat="1" applyFont="1" applyFill="1" applyBorder="1" applyAlignment="1" applyProtection="1">
      <alignment horizontal="center"/>
    </xf>
    <xf numFmtId="0" fontId="81" fillId="20" borderId="62" xfId="0" applyNumberFormat="1" applyFont="1" applyFill="1" applyBorder="1" applyAlignment="1" applyProtection="1">
      <alignment horizont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77" fillId="11" borderId="0" xfId="4" applyFont="1" applyFill="1" applyAlignment="1" applyProtection="1">
      <alignment horizontal="center" vertical="center"/>
    </xf>
    <xf numFmtId="0" fontId="84" fillId="21" borderId="81" xfId="0" applyFont="1" applyFill="1" applyBorder="1" applyAlignment="1" applyProtection="1">
      <alignment horizontal="center"/>
      <protection locked="0"/>
    </xf>
    <xf numFmtId="0" fontId="84" fillId="21" borderId="67" xfId="0" applyFont="1" applyFill="1" applyBorder="1" applyAlignment="1" applyProtection="1">
      <alignment horizontal="center"/>
      <protection locked="0"/>
    </xf>
    <xf numFmtId="0" fontId="96" fillId="11" borderId="2" xfId="0" applyFont="1" applyFill="1" applyBorder="1" applyAlignment="1">
      <alignment horizontal="center" wrapText="1"/>
    </xf>
    <xf numFmtId="0" fontId="96" fillId="11" borderId="3" xfId="0" applyFont="1" applyFill="1" applyBorder="1" applyAlignment="1">
      <alignment horizontal="center" wrapText="1"/>
    </xf>
    <xf numFmtId="0" fontId="96" fillId="11" borderId="4" xfId="0" applyFont="1" applyFill="1" applyBorder="1" applyAlignment="1">
      <alignment horizontal="center" wrapText="1"/>
    </xf>
    <xf numFmtId="169" fontId="81" fillId="0" borderId="117" xfId="2" applyNumberFormat="1" applyFont="1" applyBorder="1" applyAlignment="1">
      <alignment horizontal="center"/>
    </xf>
    <xf numFmtId="0" fontId="86" fillId="11" borderId="2" xfId="0" applyFont="1" applyFill="1" applyBorder="1" applyAlignment="1">
      <alignment horizontal="center" wrapText="1"/>
    </xf>
    <xf numFmtId="0" fontId="81" fillId="20" borderId="96" xfId="0" applyFont="1" applyFill="1" applyBorder="1" applyAlignment="1">
      <alignment horizontal="center"/>
    </xf>
    <xf numFmtId="0" fontId="81" fillId="20" borderId="24" xfId="0" applyFont="1" applyFill="1" applyBorder="1" applyAlignment="1">
      <alignment horizontal="center"/>
    </xf>
    <xf numFmtId="0" fontId="81" fillId="20" borderId="97" xfId="0" applyFont="1" applyFill="1" applyBorder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0" borderId="33" xfId="0" applyFont="1" applyBorder="1" applyAlignment="1">
      <alignment horizontal="center" wrapText="1"/>
    </xf>
    <xf numFmtId="0" fontId="85" fillId="0" borderId="34" xfId="0" applyFont="1" applyBorder="1" applyAlignment="1">
      <alignment horizontal="center" wrapText="1"/>
    </xf>
    <xf numFmtId="0" fontId="85" fillId="0" borderId="35" xfId="0" applyFont="1" applyBorder="1" applyAlignment="1">
      <alignment horizontal="center" wrapText="1"/>
    </xf>
    <xf numFmtId="0" fontId="85" fillId="0" borderId="36" xfId="0" applyFont="1" applyBorder="1" applyAlignment="1">
      <alignment horizontal="center" wrapText="1"/>
    </xf>
    <xf numFmtId="0" fontId="85" fillId="0" borderId="0" xfId="0" applyFont="1" applyAlignment="1">
      <alignment horizontal="center" wrapText="1"/>
    </xf>
    <xf numFmtId="0" fontId="85" fillId="0" borderId="37" xfId="0" applyFont="1" applyBorder="1" applyAlignment="1">
      <alignment horizontal="center" wrapText="1"/>
    </xf>
    <xf numFmtId="0" fontId="85" fillId="0" borderId="38" xfId="0" applyFont="1" applyBorder="1" applyAlignment="1">
      <alignment horizontal="center" wrapText="1"/>
    </xf>
    <xf numFmtId="0" fontId="85" fillId="0" borderId="39" xfId="0" applyFont="1" applyBorder="1" applyAlignment="1">
      <alignment horizontal="center" wrapText="1"/>
    </xf>
    <xf numFmtId="0" fontId="85" fillId="0" borderId="40" xfId="0" applyFont="1" applyBorder="1" applyAlignment="1">
      <alignment horizontal="center" wrapText="1"/>
    </xf>
    <xf numFmtId="0" fontId="81" fillId="20" borderId="33" xfId="0" applyNumberFormat="1" applyFont="1" applyFill="1" applyBorder="1" applyAlignment="1" applyProtection="1">
      <alignment horizontal="center"/>
    </xf>
    <xf numFmtId="0" fontId="81" fillId="20" borderId="34" xfId="0" applyNumberFormat="1" applyFont="1" applyFill="1" applyBorder="1" applyAlignment="1" applyProtection="1">
      <alignment horizontal="center"/>
    </xf>
    <xf numFmtId="0" fontId="81" fillId="20" borderId="35" xfId="0" applyNumberFormat="1" applyFont="1" applyFill="1" applyBorder="1" applyAlignment="1" applyProtection="1">
      <alignment horizontal="center"/>
    </xf>
    <xf numFmtId="0" fontId="86" fillId="11" borderId="27" xfId="0" applyFont="1" applyFill="1" applyBorder="1" applyAlignment="1" applyProtection="1">
      <alignment horizontal="center" vertical="center" wrapText="1"/>
    </xf>
    <xf numFmtId="0" fontId="86" fillId="11" borderId="28" xfId="0" applyFont="1" applyFill="1" applyBorder="1" applyAlignment="1" applyProtection="1">
      <alignment horizontal="center" vertical="center" wrapText="1"/>
    </xf>
    <xf numFmtId="0" fontId="86" fillId="11" borderId="3" xfId="0" applyFont="1" applyFill="1" applyBorder="1" applyAlignment="1" applyProtection="1">
      <alignment horizontal="center" vertical="center" wrapText="1"/>
    </xf>
    <xf numFmtId="0" fontId="86" fillId="11" borderId="4" xfId="0" applyFont="1" applyFill="1" applyBorder="1" applyAlignment="1" applyProtection="1">
      <alignment horizontal="center" vertical="center" wrapText="1"/>
    </xf>
    <xf numFmtId="169" fontId="81" fillId="0" borderId="38" xfId="2" applyNumberFormat="1" applyFont="1" applyFill="1" applyBorder="1" applyAlignment="1" applyProtection="1">
      <alignment horizontal="center"/>
    </xf>
    <xf numFmtId="169" fontId="81" fillId="0" borderId="39" xfId="2" applyNumberFormat="1" applyFont="1" applyFill="1" applyBorder="1" applyAlignment="1" applyProtection="1">
      <alignment horizontal="center"/>
    </xf>
    <xf numFmtId="0" fontId="85" fillId="6" borderId="33" xfId="0" applyNumberFormat="1" applyFont="1" applyFill="1" applyBorder="1" applyAlignment="1" applyProtection="1">
      <alignment horizontal="center"/>
    </xf>
    <xf numFmtId="0" fontId="85" fillId="6" borderId="34" xfId="0" applyNumberFormat="1" applyFont="1" applyFill="1" applyBorder="1" applyAlignment="1" applyProtection="1">
      <alignment horizontal="center"/>
    </xf>
    <xf numFmtId="0" fontId="85" fillId="6" borderId="35" xfId="0" applyNumberFormat="1" applyFont="1" applyFill="1" applyBorder="1" applyAlignment="1" applyProtection="1">
      <alignment horizontal="center"/>
    </xf>
    <xf numFmtId="0" fontId="85" fillId="6" borderId="38" xfId="0" applyNumberFormat="1" applyFont="1" applyFill="1" applyBorder="1" applyAlignment="1" applyProtection="1">
      <alignment horizontal="center"/>
    </xf>
    <xf numFmtId="0" fontId="85" fillId="6" borderId="39" xfId="0" applyNumberFormat="1" applyFont="1" applyFill="1" applyBorder="1" applyAlignment="1" applyProtection="1">
      <alignment horizontal="center"/>
    </xf>
    <xf numFmtId="0" fontId="85" fillId="6" borderId="40" xfId="0" applyNumberFormat="1" applyFont="1" applyFill="1" applyBorder="1" applyAlignment="1" applyProtection="1">
      <alignment horizontal="center"/>
    </xf>
    <xf numFmtId="0" fontId="82" fillId="0" borderId="33" xfId="0" applyFont="1" applyBorder="1" applyAlignment="1">
      <alignment horizontal="right" vertical="center" indent="1"/>
    </xf>
    <xf numFmtId="0" fontId="82" fillId="0" borderId="34" xfId="0" applyFont="1" applyBorder="1" applyAlignment="1">
      <alignment horizontal="right" vertical="center" indent="1"/>
    </xf>
    <xf numFmtId="0" fontId="82" fillId="0" borderId="35" xfId="0" applyFont="1" applyBorder="1" applyAlignment="1">
      <alignment horizontal="right" vertical="center" indent="1"/>
    </xf>
    <xf numFmtId="0" fontId="82" fillId="0" borderId="36" xfId="0" applyFont="1" applyBorder="1" applyAlignment="1">
      <alignment horizontal="right" vertical="center" indent="1"/>
    </xf>
    <xf numFmtId="0" fontId="82" fillId="0" borderId="0" xfId="0" applyFont="1" applyAlignment="1">
      <alignment horizontal="right" vertical="center" indent="1"/>
    </xf>
    <xf numFmtId="0" fontId="82" fillId="20" borderId="36" xfId="0" applyFont="1" applyFill="1" applyBorder="1" applyAlignment="1">
      <alignment horizontal="right" vertical="center" indent="1"/>
    </xf>
    <xf numFmtId="0" fontId="103" fillId="0" borderId="0" xfId="0" applyFont="1" applyAlignment="1">
      <alignment horizontal="right" vertical="center" indent="1"/>
    </xf>
    <xf numFmtId="0" fontId="103" fillId="0" borderId="95" xfId="0" applyFont="1" applyBorder="1" applyAlignment="1">
      <alignment horizontal="right" vertical="center" indent="1"/>
    </xf>
    <xf numFmtId="0" fontId="82" fillId="0" borderId="38" xfId="0" applyFont="1" applyBorder="1" applyAlignment="1">
      <alignment horizontal="right" vertical="center" indent="1"/>
    </xf>
    <xf numFmtId="0" fontId="82" fillId="0" borderId="39" xfId="0" applyFont="1" applyBorder="1" applyAlignment="1">
      <alignment horizontal="right" vertical="center" indent="1"/>
    </xf>
    <xf numFmtId="0" fontId="82" fillId="0" borderId="103" xfId="0" applyFont="1" applyBorder="1" applyAlignment="1">
      <alignment horizontal="right" vertical="center" indent="1"/>
    </xf>
    <xf numFmtId="0" fontId="82" fillId="0" borderId="47" xfId="0" applyFont="1" applyBorder="1" applyAlignment="1">
      <alignment horizontal="right" vertical="center" indent="1"/>
    </xf>
    <xf numFmtId="0" fontId="82" fillId="0" borderId="48" xfId="0" applyFont="1" applyBorder="1" applyAlignment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5" fillId="23" borderId="0" xfId="0" applyFont="1" applyFill="1" applyAlignment="1">
      <alignment horizontal="right" vertical="center" indent="1"/>
    </xf>
    <xf numFmtId="0" fontId="105" fillId="23" borderId="95" xfId="0" applyFont="1" applyFill="1" applyBorder="1" applyAlignment="1">
      <alignment horizontal="right" vertical="center" indent="1"/>
    </xf>
    <xf numFmtId="0" fontId="102" fillId="11" borderId="39" xfId="0" applyFont="1" applyFill="1" applyBorder="1" applyAlignment="1">
      <alignment horizontal="center" vertical="center"/>
    </xf>
    <xf numFmtId="0" fontId="105" fillId="11" borderId="39" xfId="0" applyFont="1" applyFill="1" applyBorder="1" applyAlignment="1">
      <alignment horizontal="center" vertical="center"/>
    </xf>
    <xf numFmtId="0" fontId="110" fillId="21" borderId="0" xfId="0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wrapText="1" indent="4"/>
    </xf>
    <xf numFmtId="49" fontId="112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 shrinkToFit="1" readingOrder="1"/>
    </xf>
    <xf numFmtId="0" fontId="111" fillId="21" borderId="0" xfId="0" applyFont="1" applyFill="1" applyAlignment="1">
      <alignment horizontal="left" wrapText="1" indent="4" readingOrder="1"/>
    </xf>
    <xf numFmtId="49" fontId="110" fillId="21" borderId="0" xfId="0" applyNumberFormat="1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vertical="top" wrapText="1" indent="4"/>
    </xf>
    <xf numFmtId="0" fontId="103" fillId="21" borderId="47" xfId="0" applyFont="1" applyFill="1" applyBorder="1" applyAlignment="1" applyProtection="1">
      <alignment horizontal="center" vertical="center"/>
      <protection locked="0"/>
    </xf>
    <xf numFmtId="0" fontId="103" fillId="21" borderId="48" xfId="0" applyFont="1" applyFill="1" applyBorder="1" applyAlignment="1" applyProtection="1">
      <alignment horizontal="center" vertical="center"/>
      <protection locked="0"/>
    </xf>
    <xf numFmtId="0" fontId="103" fillId="21" borderId="49" xfId="0" applyFont="1" applyFill="1" applyBorder="1" applyAlignment="1" applyProtection="1">
      <alignment horizontal="center" vertical="center"/>
      <protection locked="0"/>
    </xf>
    <xf numFmtId="0" fontId="6" fillId="21" borderId="47" xfId="4" applyFill="1" applyBorder="1" applyAlignment="1">
      <alignment horizontal="center" vertical="center"/>
      <protection locked="0"/>
    </xf>
    <xf numFmtId="0" fontId="103" fillId="21" borderId="48" xfId="0" applyFont="1" applyFill="1" applyBorder="1" applyAlignment="1">
      <alignment horizontal="center" vertical="center"/>
    </xf>
    <xf numFmtId="0" fontId="103" fillId="21" borderId="49" xfId="0" applyFont="1" applyFill="1" applyBorder="1" applyAlignment="1">
      <alignment horizontal="center" vertical="center"/>
    </xf>
    <xf numFmtId="0" fontId="104" fillId="21" borderId="47" xfId="0" applyFont="1" applyFill="1" applyBorder="1" applyAlignment="1" applyProtection="1">
      <alignment horizontal="left" vertical="center" indent="1"/>
      <protection locked="0"/>
    </xf>
    <xf numFmtId="0" fontId="104" fillId="21" borderId="48" xfId="0" applyFont="1" applyFill="1" applyBorder="1" applyAlignment="1" applyProtection="1">
      <alignment horizontal="left" vertical="center" indent="1"/>
      <protection locked="0"/>
    </xf>
    <xf numFmtId="0" fontId="104" fillId="21" borderId="49" xfId="0" applyFont="1" applyFill="1" applyBorder="1" applyAlignment="1" applyProtection="1">
      <alignment horizontal="left" vertical="center" indent="1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 applyProtection="1">
      <alignment horizontal="center" vertical="center"/>
      <protection locked="0"/>
    </xf>
    <xf numFmtId="0" fontId="122" fillId="21" borderId="49" xfId="0" applyFont="1" applyFill="1" applyBorder="1" applyAlignment="1" applyProtection="1">
      <alignment horizontal="center" vertical="center"/>
      <protection locked="0"/>
    </xf>
    <xf numFmtId="0" fontId="123" fillId="21" borderId="47" xfId="0" applyFont="1" applyFill="1" applyBorder="1" applyAlignment="1" applyProtection="1">
      <alignment horizontal="center" vertical="center"/>
      <protection locked="0"/>
    </xf>
    <xf numFmtId="0" fontId="123" fillId="21" borderId="48" xfId="0" applyFont="1" applyFill="1" applyBorder="1" applyAlignment="1">
      <alignment horizontal="center" vertical="center"/>
    </xf>
    <xf numFmtId="0" fontId="123" fillId="21" borderId="49" xfId="0" applyFont="1" applyFill="1" applyBorder="1" applyAlignment="1">
      <alignment horizontal="center" vertical="center"/>
    </xf>
    <xf numFmtId="0" fontId="82" fillId="0" borderId="49" xfId="0" applyFont="1" applyBorder="1" applyAlignment="1">
      <alignment horizontal="right" vertical="center" indent="1"/>
    </xf>
    <xf numFmtId="0" fontId="37" fillId="0" borderId="0" xfId="0" applyFont="1" applyAlignment="1">
      <alignment horizontal="center" vertical="center"/>
    </xf>
    <xf numFmtId="0" fontId="81" fillId="20" borderId="41" xfId="0" applyFont="1" applyFill="1" applyBorder="1" applyAlignment="1">
      <alignment horizontal="center" vertical="center"/>
    </xf>
    <xf numFmtId="0" fontId="85" fillId="20" borderId="42" xfId="0" applyFont="1" applyFill="1" applyBorder="1" applyAlignment="1">
      <alignment horizontal="center" vertical="center"/>
    </xf>
    <xf numFmtId="0" fontId="85" fillId="0" borderId="45" xfId="0" applyFont="1" applyBorder="1" applyAlignment="1">
      <alignment horizontal="center" vertical="center"/>
    </xf>
    <xf numFmtId="0" fontId="85" fillId="0" borderId="46" xfId="0" applyFont="1" applyBorder="1" applyAlignment="1">
      <alignment horizontal="center" vertical="center"/>
    </xf>
    <xf numFmtId="0" fontId="81" fillId="20" borderId="43" xfId="0" applyFont="1" applyFill="1" applyBorder="1" applyAlignment="1">
      <alignment horizontal="center"/>
    </xf>
    <xf numFmtId="0" fontId="81" fillId="20" borderId="44" xfId="0" applyFont="1" applyFill="1" applyBorder="1" applyAlignment="1">
      <alignment horizontal="center"/>
    </xf>
    <xf numFmtId="0" fontId="81" fillId="20" borderId="51" xfId="0" applyFont="1" applyFill="1" applyBorder="1" applyAlignment="1">
      <alignment horizontal="center"/>
    </xf>
    <xf numFmtId="169" fontId="85" fillId="0" borderId="57" xfId="2" applyNumberFormat="1" applyFont="1" applyBorder="1" applyAlignment="1">
      <alignment horizontal="center"/>
    </xf>
    <xf numFmtId="169" fontId="85" fillId="0" borderId="59" xfId="2" applyNumberFormat="1" applyFont="1" applyBorder="1" applyAlignment="1">
      <alignment horizontal="center"/>
    </xf>
    <xf numFmtId="0" fontId="81" fillId="20" borderId="64" xfId="0" applyFont="1" applyFill="1" applyBorder="1" applyAlignment="1">
      <alignment horizontal="center"/>
    </xf>
    <xf numFmtId="0" fontId="81" fillId="20" borderId="65" xfId="0" applyFont="1" applyFill="1" applyBorder="1" applyAlignment="1">
      <alignment horizontal="center"/>
    </xf>
    <xf numFmtId="0" fontId="81" fillId="20" borderId="66" xfId="0" applyFont="1" applyFill="1" applyBorder="1" applyAlignment="1">
      <alignment horizontal="center"/>
    </xf>
    <xf numFmtId="0" fontId="85" fillId="0" borderId="33" xfId="0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0" fontId="85" fillId="0" borderId="35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37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 vertical="center"/>
    </xf>
    <xf numFmtId="0" fontId="85" fillId="0" borderId="76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/>
    </xf>
    <xf numFmtId="0" fontId="85" fillId="0" borderId="76" xfId="0" applyFont="1" applyBorder="1" applyAlignment="1">
      <alignment horizontal="center"/>
    </xf>
    <xf numFmtId="0" fontId="85" fillId="0" borderId="85" xfId="0" applyFont="1" applyBorder="1" applyAlignment="1">
      <alignment horizontal="center"/>
    </xf>
    <xf numFmtId="0" fontId="77" fillId="11" borderId="0" xfId="4" applyFont="1" applyFill="1" applyBorder="1" applyAlignment="1" applyProtection="1">
      <alignment horizontal="center" vertical="center"/>
    </xf>
    <xf numFmtId="169" fontId="81" fillId="0" borderId="40" xfId="2" applyNumberFormat="1" applyFont="1" applyBorder="1" applyAlignment="1">
      <alignment horizontal="center"/>
    </xf>
    <xf numFmtId="0" fontId="84" fillId="21" borderId="0" xfId="0" applyFont="1" applyFill="1" applyAlignment="1" applyProtection="1">
      <alignment horizontal="center"/>
      <protection locked="0"/>
    </xf>
    <xf numFmtId="0" fontId="84" fillId="21" borderId="95" xfId="0" applyFont="1" applyFill="1" applyBorder="1" applyAlignment="1" applyProtection="1">
      <alignment horizontal="center"/>
      <protection locked="0"/>
    </xf>
    <xf numFmtId="0" fontId="81" fillId="20" borderId="42" xfId="0" applyFont="1" applyFill="1" applyBorder="1" applyAlignment="1">
      <alignment horizontal="center" vertical="center"/>
    </xf>
    <xf numFmtId="0" fontId="85" fillId="20" borderId="45" xfId="0" applyFont="1" applyFill="1" applyBorder="1" applyAlignment="1">
      <alignment horizontal="center" vertical="center"/>
    </xf>
    <xf numFmtId="0" fontId="85" fillId="20" borderId="46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2" fillId="6" borderId="0" xfId="0" applyFont="1" applyFill="1" applyAlignment="1">
      <alignment horizontal="center" vertical="center" textRotation="90"/>
    </xf>
    <xf numFmtId="0" fontId="75" fillId="11" borderId="27" xfId="0" applyFont="1" applyFill="1" applyBorder="1" applyAlignment="1">
      <alignment horizontal="center" vertical="center" wrapText="1"/>
    </xf>
    <xf numFmtId="0" fontId="75" fillId="11" borderId="28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169" fontId="102" fillId="23" borderId="69" xfId="2" applyNumberFormat="1" applyFont="1" applyFill="1" applyBorder="1" applyAlignment="1">
      <alignment horizontal="right" vertical="center"/>
    </xf>
    <xf numFmtId="169" fontId="102" fillId="23" borderId="48" xfId="0" applyNumberFormat="1" applyFont="1" applyFill="1" applyBorder="1" applyAlignment="1">
      <alignment horizontal="right" vertical="center"/>
    </xf>
    <xf numFmtId="169" fontId="102" fillId="23" borderId="70" xfId="0" applyNumberFormat="1" applyFont="1" applyFill="1" applyBorder="1" applyAlignment="1">
      <alignment horizontal="right" vertical="center"/>
    </xf>
    <xf numFmtId="169" fontId="106" fillId="21" borderId="69" xfId="2" applyNumberFormat="1" applyFont="1" applyFill="1" applyBorder="1" applyAlignment="1" applyProtection="1">
      <alignment horizontal="right" vertical="center"/>
      <protection locked="0"/>
    </xf>
    <xf numFmtId="169" fontId="106" fillId="21" borderId="48" xfId="2" applyNumberFormat="1" applyFont="1" applyFill="1" applyBorder="1" applyAlignment="1">
      <alignment horizontal="right" vertical="center"/>
    </xf>
    <xf numFmtId="169" fontId="106" fillId="21" borderId="70" xfId="2" applyNumberFormat="1" applyFont="1" applyFill="1" applyBorder="1" applyAlignment="1">
      <alignment horizontal="right" vertical="center"/>
    </xf>
    <xf numFmtId="169" fontId="103" fillId="21" borderId="47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0" applyNumberFormat="1" applyFont="1" applyFill="1" applyBorder="1" applyAlignment="1">
      <alignment horizontal="right" vertical="center"/>
    </xf>
    <xf numFmtId="169" fontId="103" fillId="21" borderId="49" xfId="0" applyNumberFormat="1" applyFont="1" applyFill="1" applyBorder="1" applyAlignment="1">
      <alignment horizontal="right" vertical="center"/>
    </xf>
    <xf numFmtId="169" fontId="103" fillId="21" borderId="32" xfId="2" applyNumberFormat="1" applyFont="1" applyFill="1" applyBorder="1" applyAlignment="1">
      <alignment horizontal="right" vertical="center"/>
    </xf>
    <xf numFmtId="169" fontId="103" fillId="21" borderId="32" xfId="0" applyNumberFormat="1" applyFont="1" applyFill="1" applyBorder="1" applyAlignment="1">
      <alignment horizontal="right" vertical="center"/>
    </xf>
    <xf numFmtId="0" fontId="84" fillId="21" borderId="72" xfId="0" applyFont="1" applyFill="1" applyBorder="1" applyAlignment="1" applyProtection="1">
      <alignment horizontal="center"/>
      <protection locked="0"/>
    </xf>
    <xf numFmtId="169" fontId="81" fillId="0" borderId="73" xfId="2" applyNumberFormat="1" applyFont="1" applyBorder="1" applyAlignment="1" applyProtection="1">
      <alignment horizontal="center"/>
    </xf>
    <xf numFmtId="169" fontId="81" fillId="0" borderId="74" xfId="2" applyNumberFormat="1" applyFont="1" applyBorder="1" applyAlignment="1" applyProtection="1">
      <alignment horizontal="center"/>
    </xf>
    <xf numFmtId="169" fontId="103" fillId="21" borderId="51" xfId="0" applyNumberFormat="1" applyFont="1" applyFill="1" applyBorder="1" applyAlignment="1">
      <alignment horizontal="right" vertical="center"/>
    </xf>
    <xf numFmtId="169" fontId="103" fillId="20" borderId="102" xfId="2" applyNumberFormat="1" applyFont="1" applyFill="1" applyBorder="1" applyAlignment="1">
      <alignment horizontal="right" vertical="center"/>
    </xf>
    <xf numFmtId="169" fontId="103" fillId="20" borderId="39" xfId="0" applyNumberFormat="1" applyFont="1" applyFill="1" applyBorder="1" applyAlignment="1">
      <alignment horizontal="right" vertical="center"/>
    </xf>
    <xf numFmtId="169" fontId="103" fillId="20" borderId="103" xfId="0" applyNumberFormat="1" applyFont="1" applyFill="1" applyBorder="1" applyAlignment="1">
      <alignment horizontal="right" vertical="center"/>
    </xf>
    <xf numFmtId="169" fontId="81" fillId="0" borderId="86" xfId="2" applyNumberFormat="1" applyFont="1" applyBorder="1" applyAlignment="1">
      <alignment horizontal="center"/>
    </xf>
    <xf numFmtId="0" fontId="86" fillId="11" borderId="23" xfId="0" applyFont="1" applyFill="1" applyBorder="1" applyAlignment="1">
      <alignment horizontal="center" vertical="center" wrapText="1"/>
    </xf>
    <xf numFmtId="0" fontId="86" fillId="11" borderId="27" xfId="0" applyFont="1" applyFill="1" applyBorder="1" applyAlignment="1">
      <alignment horizontal="center" wrapText="1" shrinkToFit="1"/>
    </xf>
    <xf numFmtId="0" fontId="86" fillId="11" borderId="28" xfId="0" applyFont="1" applyFill="1" applyBorder="1" applyAlignment="1">
      <alignment horizontal="center" wrapText="1" shrinkToFit="1"/>
    </xf>
    <xf numFmtId="0" fontId="86" fillId="11" borderId="29" xfId="0" applyFont="1" applyFill="1" applyBorder="1" applyAlignment="1">
      <alignment horizontal="center" wrapText="1" shrinkToFit="1"/>
    </xf>
    <xf numFmtId="169" fontId="81" fillId="21" borderId="0" xfId="2" applyNumberFormat="1" applyFont="1" applyFill="1" applyAlignment="1">
      <alignment horizontal="center"/>
    </xf>
    <xf numFmtId="169" fontId="81" fillId="6" borderId="86" xfId="2" applyNumberFormat="1" applyFont="1" applyFill="1" applyBorder="1" applyAlignment="1">
      <alignment horizontal="center"/>
    </xf>
    <xf numFmtId="169" fontId="81" fillId="6" borderId="87" xfId="2" applyNumberFormat="1" applyFont="1" applyFill="1" applyBorder="1" applyAlignment="1">
      <alignment horizontal="center"/>
    </xf>
    <xf numFmtId="0" fontId="86" fillId="11" borderId="2" xfId="0" applyFont="1" applyFill="1" applyBorder="1" applyAlignment="1">
      <alignment horizontal="center" vertical="center" wrapText="1"/>
    </xf>
    <xf numFmtId="0" fontId="81" fillId="14" borderId="89" xfId="0" applyFont="1" applyFill="1" applyBorder="1" applyAlignment="1">
      <alignment horizontal="center"/>
    </xf>
    <xf numFmtId="0" fontId="81" fillId="14" borderId="90" xfId="0" applyFont="1" applyFill="1" applyBorder="1" applyAlignment="1">
      <alignment horizontal="center"/>
    </xf>
    <xf numFmtId="0" fontId="81" fillId="14" borderId="91" xfId="0" applyFont="1" applyFill="1" applyBorder="1" applyAlignment="1">
      <alignment horizontal="center"/>
    </xf>
    <xf numFmtId="169" fontId="81" fillId="0" borderId="50" xfId="2" applyNumberFormat="1" applyFont="1" applyBorder="1" applyAlignment="1">
      <alignment horizontal="center"/>
    </xf>
    <xf numFmtId="0" fontId="84" fillId="21" borderId="32" xfId="0" applyFont="1" applyFill="1" applyBorder="1" applyAlignment="1" applyProtection="1">
      <alignment horizontal="center"/>
      <protection locked="0"/>
    </xf>
    <xf numFmtId="0" fontId="92" fillId="20" borderId="89" xfId="0" applyFont="1" applyFill="1" applyBorder="1" applyAlignment="1">
      <alignment horizontal="center"/>
    </xf>
    <xf numFmtId="0" fontId="93" fillId="20" borderId="90" xfId="0" applyFont="1" applyFill="1" applyBorder="1" applyAlignment="1">
      <alignment horizontal="center"/>
    </xf>
    <xf numFmtId="0" fontId="93" fillId="20" borderId="91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 shrinkToFit="1"/>
    </xf>
    <xf numFmtId="0" fontId="86" fillId="11" borderId="28" xfId="0" applyFont="1" applyFill="1" applyBorder="1" applyAlignment="1">
      <alignment horizontal="center" vertical="center" wrapText="1" shrinkToFit="1"/>
    </xf>
    <xf numFmtId="0" fontId="86" fillId="11" borderId="29" xfId="0" applyFont="1" applyFill="1" applyBorder="1" applyAlignment="1">
      <alignment horizontal="center" vertical="center" wrapText="1" shrinkToFit="1"/>
    </xf>
    <xf numFmtId="0" fontId="81" fillId="20" borderId="82" xfId="0" applyFont="1" applyFill="1" applyBorder="1" applyAlignment="1">
      <alignment horizontal="center"/>
    </xf>
    <xf numFmtId="0" fontId="81" fillId="20" borderId="83" xfId="0" applyFont="1" applyFill="1" applyBorder="1" applyAlignment="1">
      <alignment horizontal="center"/>
    </xf>
    <xf numFmtId="0" fontId="81" fillId="20" borderId="78" xfId="0" applyFont="1" applyFill="1" applyBorder="1" applyAlignment="1">
      <alignment horizontal="center"/>
    </xf>
    <xf numFmtId="0" fontId="81" fillId="20" borderId="79" xfId="0" applyFont="1" applyFill="1" applyBorder="1" applyAlignment="1">
      <alignment horizontal="center"/>
    </xf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86" fillId="21" borderId="0" xfId="0" applyFont="1" applyFill="1" applyAlignment="1">
      <alignment horizontal="center" wrapText="1"/>
    </xf>
    <xf numFmtId="169" fontId="103" fillId="21" borderId="33" xfId="2" applyNumberFormat="1" applyFont="1" applyFill="1" applyBorder="1" applyAlignment="1">
      <alignment horizontal="right" vertical="center"/>
    </xf>
    <xf numFmtId="169" fontId="103" fillId="21" borderId="34" xfId="0" applyNumberFormat="1" applyFont="1" applyFill="1" applyBorder="1" applyAlignment="1">
      <alignment horizontal="right" vertical="center"/>
    </xf>
    <xf numFmtId="169" fontId="103" fillId="21" borderId="35" xfId="0" applyNumberFormat="1" applyFont="1" applyFill="1" applyBorder="1" applyAlignment="1">
      <alignment horizontal="right" vertical="center"/>
    </xf>
    <xf numFmtId="0" fontId="86" fillId="21" borderId="0" xfId="0" applyFont="1" applyFill="1" applyAlignment="1">
      <alignment horizontal="center" vertical="center" wrapText="1"/>
    </xf>
    <xf numFmtId="0" fontId="82" fillId="0" borderId="32" xfId="0" applyFont="1" applyBorder="1" applyAlignment="1">
      <alignment horizontal="right" vertical="center" indent="1"/>
    </xf>
    <xf numFmtId="0" fontId="62" fillId="0" borderId="0" xfId="4" applyFont="1" applyAlignment="1" applyProtection="1">
      <alignment horizontal="left"/>
    </xf>
    <xf numFmtId="0" fontId="32" fillId="0" borderId="0" xfId="0" applyFont="1" applyAlignment="1">
      <alignment horizontal="center" vertical="center" textRotation="90"/>
    </xf>
    <xf numFmtId="0" fontId="77" fillId="11" borderId="26" xfId="4" applyFont="1" applyFill="1" applyBorder="1" applyAlignment="1" applyProtection="1">
      <alignment horizontal="center" vertical="center"/>
    </xf>
    <xf numFmtId="0" fontId="77" fillId="11" borderId="0" xfId="4" applyFont="1" applyFill="1" applyAlignment="1" applyProtection="1">
      <alignment horizontal="center" vertical="center" wrapText="1"/>
    </xf>
    <xf numFmtId="0" fontId="81" fillId="20" borderId="47" xfId="0" applyFont="1" applyFill="1" applyBorder="1" applyAlignment="1">
      <alignment horizontal="center"/>
    </xf>
    <xf numFmtId="0" fontId="81" fillId="20" borderId="48" xfId="0" applyFont="1" applyFill="1" applyBorder="1" applyAlignment="1">
      <alignment horizontal="center"/>
    </xf>
    <xf numFmtId="0" fontId="81" fillId="20" borderId="49" xfId="0" applyFont="1" applyFill="1" applyBorder="1" applyAlignment="1">
      <alignment horizontal="center"/>
    </xf>
    <xf numFmtId="0" fontId="84" fillId="21" borderId="125" xfId="0" applyFont="1" applyFill="1" applyBorder="1" applyAlignment="1" applyProtection="1">
      <alignment horizontal="center"/>
      <protection locked="0"/>
    </xf>
    <xf numFmtId="0" fontId="84" fillId="21" borderId="126" xfId="0" applyFont="1" applyFill="1" applyBorder="1" applyAlignment="1" applyProtection="1">
      <alignment horizontal="center"/>
      <protection locked="0"/>
    </xf>
    <xf numFmtId="169" fontId="81" fillId="0" borderId="38" xfId="3" applyNumberFormat="1" applyFont="1" applyBorder="1" applyAlignment="1">
      <alignment horizontal="center"/>
    </xf>
    <xf numFmtId="169" fontId="81" fillId="0" borderId="40" xfId="3" applyNumberFormat="1" applyFont="1" applyBorder="1" applyAlignment="1">
      <alignment horizontal="center"/>
    </xf>
    <xf numFmtId="0" fontId="84" fillId="21" borderId="54" xfId="0" applyFont="1" applyFill="1" applyBorder="1" applyAlignment="1" applyProtection="1">
      <alignment horizontal="center"/>
      <protection locked="0"/>
    </xf>
    <xf numFmtId="0" fontId="84" fillId="21" borderId="55" xfId="0" applyFont="1" applyFill="1" applyBorder="1" applyAlignment="1" applyProtection="1">
      <alignment horizontal="center"/>
      <protection locked="0"/>
    </xf>
    <xf numFmtId="169" fontId="81" fillId="0" borderId="73" xfId="3" applyNumberFormat="1" applyFont="1" applyBorder="1" applyAlignment="1">
      <alignment horizontal="center"/>
    </xf>
    <xf numFmtId="169" fontId="81" fillId="0" borderId="74" xfId="3" applyNumberFormat="1" applyFont="1" applyBorder="1" applyAlignment="1">
      <alignment horizontal="center"/>
    </xf>
    <xf numFmtId="0" fontId="86" fillId="11" borderId="52" xfId="0" applyFont="1" applyFill="1" applyBorder="1" applyAlignment="1">
      <alignment horizontal="center" vertical="center" wrapText="1"/>
    </xf>
    <xf numFmtId="0" fontId="86" fillId="11" borderId="53" xfId="0" applyFont="1" applyFill="1" applyBorder="1" applyAlignment="1">
      <alignment horizontal="center" vertical="center" wrapText="1"/>
    </xf>
    <xf numFmtId="0" fontId="86" fillId="11" borderId="98" xfId="0" applyFont="1" applyFill="1" applyBorder="1" applyAlignment="1">
      <alignment horizontal="center" vertical="center" wrapText="1"/>
    </xf>
    <xf numFmtId="0" fontId="86" fillId="11" borderId="99" xfId="0" applyFont="1" applyFill="1" applyBorder="1" applyAlignment="1">
      <alignment horizontal="center" vertical="center" wrapText="1"/>
    </xf>
    <xf numFmtId="169" fontId="81" fillId="0" borderId="68" xfId="2" applyNumberFormat="1" applyFont="1" applyBorder="1" applyAlignment="1">
      <alignment horizontal="center"/>
    </xf>
    <xf numFmtId="169" fontId="81" fillId="0" borderId="75" xfId="2" applyNumberFormat="1" applyFont="1" applyBorder="1" applyAlignment="1">
      <alignment horizontal="center"/>
    </xf>
    <xf numFmtId="0" fontId="84" fillId="21" borderId="100" xfId="0" applyFont="1" applyFill="1" applyBorder="1" applyAlignment="1" applyProtection="1">
      <alignment horizontal="center"/>
      <protection locked="0"/>
    </xf>
    <xf numFmtId="0" fontId="84" fillId="21" borderId="101" xfId="0" applyFont="1" applyFill="1" applyBorder="1" applyAlignment="1" applyProtection="1">
      <alignment horizontal="center"/>
      <protection locked="0"/>
    </xf>
    <xf numFmtId="0" fontId="97" fillId="11" borderId="27" xfId="4" applyFont="1" applyFill="1" applyBorder="1" applyAlignment="1" applyProtection="1">
      <alignment horizontal="center" vertical="center" wrapText="1"/>
    </xf>
    <xf numFmtId="0" fontId="97" fillId="11" borderId="28" xfId="4" applyFont="1" applyFill="1" applyBorder="1" applyAlignment="1" applyProtection="1">
      <alignment horizontal="center" vertical="center" wrapText="1"/>
    </xf>
    <xf numFmtId="0" fontId="97" fillId="11" borderId="29" xfId="4" applyFont="1" applyFill="1" applyBorder="1" applyAlignment="1" applyProtection="1">
      <alignment horizontal="center" vertical="center" wrapText="1"/>
    </xf>
    <xf numFmtId="0" fontId="77" fillId="0" borderId="0" xfId="4" applyFont="1" applyAlignment="1" applyProtection="1">
      <alignment horizontal="center" vertical="center"/>
    </xf>
    <xf numFmtId="0" fontId="79" fillId="0" borderId="0" xfId="0" applyFont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81" fillId="20" borderId="41" xfId="0" applyFont="1" applyFill="1" applyBorder="1" applyAlignment="1">
      <alignment horizontal="center" wrapText="1"/>
    </xf>
    <xf numFmtId="0" fontId="81" fillId="20" borderId="42" xfId="0" applyFont="1" applyFill="1" applyBorder="1" applyAlignment="1">
      <alignment horizontal="center" wrapText="1"/>
    </xf>
    <xf numFmtId="0" fontId="81" fillId="20" borderId="45" xfId="0" applyFont="1" applyFill="1" applyBorder="1" applyAlignment="1">
      <alignment horizontal="center" wrapText="1"/>
    </xf>
    <xf numFmtId="0" fontId="81" fillId="20" borderId="46" xfId="0" applyFont="1" applyFill="1" applyBorder="1" applyAlignment="1">
      <alignment horizontal="center" wrapText="1"/>
    </xf>
    <xf numFmtId="0" fontId="81" fillId="20" borderId="41" xfId="0" applyFont="1" applyFill="1" applyBorder="1" applyAlignment="1">
      <alignment horizontal="center"/>
    </xf>
    <xf numFmtId="0" fontId="81" fillId="20" borderId="42" xfId="0" applyFont="1" applyFill="1" applyBorder="1" applyAlignment="1">
      <alignment horizontal="center"/>
    </xf>
    <xf numFmtId="0" fontId="81" fillId="20" borderId="45" xfId="0" applyFont="1" applyFill="1" applyBorder="1" applyAlignment="1">
      <alignment horizontal="center"/>
    </xf>
    <xf numFmtId="0" fontId="81" fillId="20" borderId="46" xfId="0" applyFont="1" applyFill="1" applyBorder="1" applyAlignment="1">
      <alignment horizontal="center"/>
    </xf>
    <xf numFmtId="168" fontId="128" fillId="0" borderId="123" xfId="0" applyNumberFormat="1" applyFont="1" applyBorder="1" applyAlignment="1">
      <alignment horizontal="center"/>
    </xf>
    <xf numFmtId="0" fontId="129" fillId="0" borderId="122" xfId="0" applyFont="1" applyBorder="1"/>
    <xf numFmtId="0" fontId="75" fillId="11" borderId="2" xfId="0" applyFont="1" applyFill="1" applyBorder="1" applyAlignment="1">
      <alignment horizontal="center" wrapText="1"/>
    </xf>
    <xf numFmtId="0" fontId="75" fillId="11" borderId="3" xfId="0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 wrapText="1"/>
    </xf>
    <xf numFmtId="0" fontId="84" fillId="21" borderId="57" xfId="0" applyFont="1" applyFill="1" applyBorder="1" applyAlignment="1" applyProtection="1">
      <alignment horizontal="center"/>
      <protection locked="0"/>
    </xf>
    <xf numFmtId="0" fontId="84" fillId="21" borderId="105" xfId="0" applyFont="1" applyFill="1" applyBorder="1" applyAlignment="1" applyProtection="1">
      <alignment horizontal="center"/>
      <protection locked="0"/>
    </xf>
    <xf numFmtId="0" fontId="80" fillId="21" borderId="0" xfId="0" applyFont="1" applyFill="1" applyAlignment="1">
      <alignment horizontal="center" vertical="center"/>
    </xf>
    <xf numFmtId="0" fontId="81" fillId="20" borderId="89" xfId="0" applyFont="1" applyFill="1" applyBorder="1" applyAlignment="1">
      <alignment horizontal="center"/>
    </xf>
    <xf numFmtId="0" fontId="81" fillId="20" borderId="90" xfId="0" applyFont="1" applyFill="1" applyBorder="1" applyAlignment="1">
      <alignment horizontal="center"/>
    </xf>
    <xf numFmtId="0" fontId="81" fillId="20" borderId="93" xfId="0" applyFont="1" applyFill="1" applyBorder="1" applyAlignment="1">
      <alignment horizontal="center"/>
    </xf>
    <xf numFmtId="168" fontId="85" fillId="21" borderId="0" xfId="2" applyNumberFormat="1" applyFont="1" applyFill="1" applyAlignment="1">
      <alignment horizontal="center"/>
    </xf>
    <xf numFmtId="0" fontId="80" fillId="21" borderId="39" xfId="0" applyFont="1" applyFill="1" applyBorder="1" applyAlignment="1">
      <alignment horizontal="center" vertical="center"/>
    </xf>
    <xf numFmtId="0" fontId="81" fillId="20" borderId="91" xfId="0" applyFont="1" applyFill="1" applyBorder="1" applyAlignment="1">
      <alignment horizontal="center"/>
    </xf>
    <xf numFmtId="0" fontId="81" fillId="20" borderId="94" xfId="0" applyFont="1" applyFill="1" applyBorder="1" applyAlignment="1">
      <alignment horizontal="center"/>
    </xf>
    <xf numFmtId="0" fontId="86" fillId="11" borderId="7" xfId="0" applyFont="1" applyFill="1" applyBorder="1" applyAlignment="1">
      <alignment horizontal="center" vertical="center" wrapText="1"/>
    </xf>
    <xf numFmtId="0" fontId="84" fillId="21" borderId="56" xfId="0" applyFont="1" applyFill="1" applyBorder="1" applyAlignment="1" applyProtection="1">
      <alignment horizontal="center"/>
      <protection locked="0"/>
    </xf>
    <xf numFmtId="169" fontId="81" fillId="0" borderId="88" xfId="2" applyNumberFormat="1" applyFont="1" applyBorder="1" applyAlignment="1">
      <alignment horizontal="center"/>
    </xf>
    <xf numFmtId="0" fontId="60" fillId="21" borderId="0" xfId="0" applyFont="1" applyFill="1" applyAlignment="1">
      <alignment horizontal="center" vertical="center" textRotation="90"/>
    </xf>
    <xf numFmtId="0" fontId="96" fillId="11" borderId="27" xfId="0" applyFont="1" applyFill="1" applyBorder="1" applyAlignment="1">
      <alignment horizontal="center" wrapText="1" shrinkToFit="1"/>
    </xf>
    <xf numFmtId="0" fontId="96" fillId="11" borderId="28" xfId="0" applyFont="1" applyFill="1" applyBorder="1" applyAlignment="1">
      <alignment horizontal="center" wrapText="1" shrinkToFit="1"/>
    </xf>
    <xf numFmtId="0" fontId="96" fillId="11" borderId="29" xfId="0" applyFont="1" applyFill="1" applyBorder="1" applyAlignment="1">
      <alignment horizontal="center" wrapText="1" shrinkToFit="1"/>
    </xf>
    <xf numFmtId="0" fontId="86" fillId="11" borderId="27" xfId="0" applyFont="1" applyFill="1" applyBorder="1" applyAlignment="1">
      <alignment horizontal="center" vertical="center" shrinkToFit="1"/>
    </xf>
    <xf numFmtId="0" fontId="86" fillId="11" borderId="28" xfId="0" applyFont="1" applyFill="1" applyBorder="1" applyAlignment="1">
      <alignment horizontal="center" vertical="center" shrinkToFit="1"/>
    </xf>
    <xf numFmtId="0" fontId="86" fillId="11" borderId="29" xfId="0" applyFont="1" applyFill="1" applyBorder="1" applyAlignment="1">
      <alignment horizontal="center" vertical="center" shrinkToFit="1"/>
    </xf>
    <xf numFmtId="169" fontId="85" fillId="0" borderId="47" xfId="2" applyNumberFormat="1" applyFont="1" applyBorder="1" applyAlignment="1">
      <alignment horizontal="center"/>
    </xf>
    <xf numFmtId="169" fontId="85" fillId="0" borderId="49" xfId="2" applyNumberFormat="1" applyFont="1" applyBorder="1" applyAlignment="1">
      <alignment horizontal="center"/>
    </xf>
    <xf numFmtId="164" fontId="9" fillId="0" borderId="39" xfId="2" applyFont="1" applyBorder="1" applyAlignment="1">
      <alignment horizontal="center" vertical="center"/>
    </xf>
    <xf numFmtId="168" fontId="3" fillId="0" borderId="32" xfId="2" applyNumberForma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1" fontId="84" fillId="21" borderId="0" xfId="0" applyNumberFormat="1" applyFont="1" applyFill="1" applyAlignment="1" applyProtection="1">
      <alignment horizontal="center"/>
      <protection locked="0"/>
    </xf>
    <xf numFmtId="1" fontId="84" fillId="21" borderId="95" xfId="0" applyNumberFormat="1" applyFont="1" applyFill="1" applyBorder="1" applyAlignment="1" applyProtection="1">
      <alignment horizontal="center"/>
      <protection locked="0"/>
    </xf>
    <xf numFmtId="164" fontId="47" fillId="6" borderId="0" xfId="2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85" fillId="0" borderId="33" xfId="0" applyFont="1" applyBorder="1" applyAlignment="1">
      <alignment vertical="center"/>
    </xf>
    <xf numFmtId="0" fontId="85" fillId="0" borderId="34" xfId="0" applyFont="1" applyBorder="1" applyAlignment="1">
      <alignment vertical="center"/>
    </xf>
    <xf numFmtId="0" fontId="85" fillId="0" borderId="35" xfId="0" applyFont="1" applyBorder="1" applyAlignment="1">
      <alignment vertical="center"/>
    </xf>
    <xf numFmtId="0" fontId="85" fillId="0" borderId="36" xfId="0" applyFont="1" applyBorder="1" applyAlignment="1">
      <alignment vertical="center"/>
    </xf>
    <xf numFmtId="0" fontId="85" fillId="0" borderId="0" xfId="0" applyFont="1" applyAlignment="1">
      <alignment vertical="center"/>
    </xf>
    <xf numFmtId="0" fontId="85" fillId="0" borderId="37" xfId="0" applyFont="1" applyBorder="1" applyAlignment="1">
      <alignment vertical="center"/>
    </xf>
    <xf numFmtId="0" fontId="85" fillId="0" borderId="38" xfId="0" applyFont="1" applyBorder="1" applyAlignment="1">
      <alignment vertical="center"/>
    </xf>
    <xf numFmtId="0" fontId="85" fillId="0" borderId="39" xfId="0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2" fillId="21" borderId="0" xfId="0" applyFont="1" applyFill="1" applyAlignment="1">
      <alignment horizontal="center" vertical="center"/>
    </xf>
    <xf numFmtId="0" fontId="81" fillId="20" borderId="64" xfId="0" applyFont="1" applyFill="1" applyBorder="1" applyAlignment="1">
      <alignment horizontal="center" wrapText="1"/>
    </xf>
    <xf numFmtId="0" fontId="81" fillId="20" borderId="65" xfId="0" applyFont="1" applyFill="1" applyBorder="1" applyAlignment="1">
      <alignment horizontal="center" wrapText="1"/>
    </xf>
    <xf numFmtId="0" fontId="81" fillId="20" borderId="66" xfId="0" applyFont="1" applyFill="1" applyBorder="1" applyAlignment="1">
      <alignment horizontal="center" wrapText="1"/>
    </xf>
    <xf numFmtId="0" fontId="47" fillId="6" borderId="0" xfId="0" applyFont="1" applyFill="1" applyAlignment="1">
      <alignment horizontal="center" vertical="center"/>
    </xf>
    <xf numFmtId="169" fontId="85" fillId="0" borderId="36" xfId="2" applyNumberFormat="1" applyFont="1" applyBorder="1" applyAlignment="1">
      <alignment horizontal="center"/>
    </xf>
    <xf numFmtId="169" fontId="85" fillId="0" borderId="37" xfId="2" applyNumberFormat="1" applyFont="1" applyBorder="1" applyAlignment="1">
      <alignment horizontal="center"/>
    </xf>
    <xf numFmtId="0" fontId="102" fillId="23" borderId="0" xfId="0" applyFont="1" applyFill="1" applyAlignment="1">
      <alignment horizontal="left" vertical="center"/>
    </xf>
    <xf numFmtId="0" fontId="33" fillId="6" borderId="0" xfId="0" applyFont="1" applyFill="1" applyAlignment="1">
      <alignment horizontal="center"/>
    </xf>
    <xf numFmtId="0" fontId="45" fillId="6" borderId="0" xfId="0" applyFont="1" applyFill="1" applyAlignment="1">
      <alignment horizontal="center" vertical="center"/>
    </xf>
    <xf numFmtId="0" fontId="43" fillId="6" borderId="0" xfId="0" applyFont="1" applyFill="1" applyAlignment="1">
      <alignment horizontal="center"/>
    </xf>
    <xf numFmtId="164" fontId="46" fillId="6" borderId="0" xfId="2" applyFont="1" applyFill="1" applyAlignment="1">
      <alignment horizontal="center" vertical="center"/>
    </xf>
    <xf numFmtId="0" fontId="43" fillId="20" borderId="110" xfId="0" applyFont="1" applyFill="1" applyBorder="1" applyAlignment="1">
      <alignment horizontal="center" vertical="center"/>
    </xf>
    <xf numFmtId="0" fontId="33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3" fillId="20" borderId="111" xfId="0" applyFont="1" applyFill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48" fillId="15" borderId="32" xfId="0" applyFont="1" applyFill="1" applyBorder="1" applyAlignment="1">
      <alignment horizontal="center" vertical="center"/>
    </xf>
    <xf numFmtId="0" fontId="33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8" fillId="4" borderId="32" xfId="0" applyFont="1" applyFill="1" applyBorder="1" applyAlignment="1">
      <alignment horizontal="center" vertical="center"/>
    </xf>
    <xf numFmtId="169" fontId="85" fillId="0" borderId="96" xfId="2" applyNumberFormat="1" applyFont="1" applyBorder="1" applyAlignment="1">
      <alignment horizontal="center"/>
    </xf>
    <xf numFmtId="169" fontId="85" fillId="0" borderId="97" xfId="2" applyNumberFormat="1" applyFont="1" applyBorder="1" applyAlignment="1">
      <alignment horizontal="center"/>
    </xf>
    <xf numFmtId="0" fontId="81" fillId="21" borderId="0" xfId="0" applyFont="1" applyFill="1" applyBorder="1" applyAlignment="1">
      <alignment horizontal="center" wrapText="1"/>
    </xf>
    <xf numFmtId="0" fontId="130" fillId="0" borderId="48" xfId="0" applyFont="1" applyBorder="1" applyAlignment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>
      <alignment horizontal="right"/>
    </xf>
    <xf numFmtId="0" fontId="48" fillId="11" borderId="32" xfId="0" applyFont="1" applyFill="1" applyBorder="1" applyAlignment="1">
      <alignment horizontal="center" vertical="center"/>
    </xf>
    <xf numFmtId="0" fontId="50" fillId="17" borderId="32" xfId="0" applyFont="1" applyFill="1" applyBorder="1" applyAlignment="1">
      <alignment horizontal="center" vertical="center"/>
    </xf>
    <xf numFmtId="0" fontId="33" fillId="19" borderId="32" xfId="0" applyFont="1" applyFill="1" applyBorder="1" applyAlignment="1">
      <alignment horizontal="center" vertical="center"/>
    </xf>
    <xf numFmtId="0" fontId="43" fillId="20" borderId="36" xfId="0" applyFont="1" applyFill="1" applyBorder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9" fillId="0" borderId="32" xfId="2" applyNumberFormat="1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48" fillId="3" borderId="32" xfId="0" applyFont="1" applyFill="1" applyBorder="1" applyAlignment="1">
      <alignment horizontal="center" vertical="center"/>
    </xf>
    <xf numFmtId="0" fontId="48" fillId="16" borderId="32" xfId="0" applyFont="1" applyFill="1" applyBorder="1" applyAlignment="1">
      <alignment horizontal="center" vertical="center"/>
    </xf>
    <xf numFmtId="169" fontId="85" fillId="0" borderId="32" xfId="2" applyNumberFormat="1" applyFont="1" applyBorder="1" applyAlignment="1">
      <alignment horizontal="center" vertical="center"/>
    </xf>
    <xf numFmtId="169" fontId="85" fillId="0" borderId="32" xfId="0" applyNumberFormat="1" applyFont="1" applyBorder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28" fillId="11" borderId="7" xfId="0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126" fillId="11" borderId="27" xfId="0" applyFont="1" applyFill="1" applyBorder="1" applyAlignment="1">
      <alignment horizontal="center" wrapText="1" shrinkToFit="1"/>
    </xf>
    <xf numFmtId="0" fontId="126" fillId="11" borderId="28" xfId="0" applyFont="1" applyFill="1" applyBorder="1" applyAlignment="1">
      <alignment horizontal="center" wrapText="1" shrinkToFit="1"/>
    </xf>
    <xf numFmtId="0" fontId="126" fillId="11" borderId="29" xfId="0" applyFont="1" applyFill="1" applyBorder="1" applyAlignment="1">
      <alignment horizontal="center" wrapText="1" shrinkToFit="1"/>
    </xf>
    <xf numFmtId="0" fontId="96" fillId="11" borderId="7" xfId="0" applyFont="1" applyFill="1" applyBorder="1" applyAlignment="1">
      <alignment horizontal="center" wrapText="1"/>
    </xf>
    <xf numFmtId="0" fontId="96" fillId="11" borderId="23" xfId="0" applyFont="1" applyFill="1" applyBorder="1" applyAlignment="1">
      <alignment horizontal="center" wrapText="1"/>
    </xf>
    <xf numFmtId="0" fontId="96" fillId="11" borderId="27" xfId="0" applyFont="1" applyFill="1" applyBorder="1" applyAlignment="1">
      <alignment horizontal="center" wrapText="1"/>
    </xf>
    <xf numFmtId="0" fontId="96" fillId="11" borderId="28" xfId="0" applyFont="1" applyFill="1" applyBorder="1" applyAlignment="1">
      <alignment horizontal="center" wrapText="1"/>
    </xf>
    <xf numFmtId="0" fontId="96" fillId="11" borderId="29" xfId="0" applyFont="1" applyFill="1" applyBorder="1" applyAlignment="1">
      <alignment horizontal="center" wrapText="1"/>
    </xf>
    <xf numFmtId="0" fontId="75" fillId="11" borderId="7" xfId="0" applyFont="1" applyFill="1" applyBorder="1" applyAlignment="1">
      <alignment horizontal="center" wrapText="1"/>
    </xf>
    <xf numFmtId="0" fontId="75" fillId="11" borderId="23" xfId="0" applyFont="1" applyFill="1" applyBorder="1" applyAlignment="1">
      <alignment horizontal="center" wrapText="1"/>
    </xf>
    <xf numFmtId="164" fontId="85" fillId="21" borderId="0" xfId="2" applyFont="1" applyFill="1" applyAlignment="1">
      <alignment horizontal="center"/>
    </xf>
    <xf numFmtId="0" fontId="86" fillId="11" borderId="29" xfId="0" applyFont="1" applyFill="1" applyBorder="1" applyAlignment="1" applyProtection="1">
      <alignment horizontal="center" vertical="center" wrapText="1"/>
    </xf>
    <xf numFmtId="0" fontId="120" fillId="11" borderId="27" xfId="0" applyFont="1" applyFill="1" applyBorder="1" applyAlignment="1">
      <alignment horizontal="center" vertical="center" wrapText="1"/>
    </xf>
    <xf numFmtId="0" fontId="121" fillId="11" borderId="28" xfId="0" applyFont="1" applyFill="1" applyBorder="1" applyAlignment="1">
      <alignment horizontal="center" vertical="center" wrapText="1"/>
    </xf>
    <xf numFmtId="0" fontId="121" fillId="11" borderId="3" xfId="0" applyFont="1" applyFill="1" applyBorder="1" applyAlignment="1">
      <alignment horizontal="center" vertical="center" wrapText="1"/>
    </xf>
    <xf numFmtId="0" fontId="121" fillId="11" borderId="4" xfId="0" applyFont="1" applyFill="1" applyBorder="1" applyAlignment="1">
      <alignment horizontal="center" vertical="center" wrapText="1"/>
    </xf>
    <xf numFmtId="0" fontId="99" fillId="11" borderId="27" xfId="0" applyFont="1" applyFill="1" applyBorder="1" applyAlignment="1">
      <alignment horizontal="center" vertical="center" wrapText="1"/>
    </xf>
    <xf numFmtId="0" fontId="28" fillId="11" borderId="28" xfId="0" applyFont="1" applyFill="1" applyBorder="1" applyAlignment="1">
      <alignment horizontal="center" vertical="center" wrapText="1"/>
    </xf>
    <xf numFmtId="0" fontId="28" fillId="11" borderId="29" xfId="0" applyFont="1" applyFill="1" applyBorder="1" applyAlignment="1">
      <alignment horizontal="center" vertical="center" wrapText="1"/>
    </xf>
    <xf numFmtId="0" fontId="84" fillId="21" borderId="50" xfId="0" applyFont="1" applyFill="1" applyBorder="1" applyAlignment="1" applyProtection="1">
      <alignment horizontal="center"/>
      <protection locked="0"/>
    </xf>
    <xf numFmtId="0" fontId="96" fillId="11" borderId="27" xfId="0" applyFont="1" applyFill="1" applyBorder="1" applyAlignment="1">
      <alignment horizontal="center" vertical="center" wrapText="1"/>
    </xf>
    <xf numFmtId="0" fontId="96" fillId="11" borderId="28" xfId="0" applyFont="1" applyFill="1" applyBorder="1" applyAlignment="1">
      <alignment horizontal="center" vertical="center" wrapText="1"/>
    </xf>
    <xf numFmtId="0" fontId="96" fillId="11" borderId="29" xfId="0" applyFont="1" applyFill="1" applyBorder="1" applyAlignment="1">
      <alignment horizontal="center" vertical="center" wrapText="1"/>
    </xf>
    <xf numFmtId="0" fontId="96" fillId="11" borderId="27" xfId="4" applyFont="1" applyFill="1" applyBorder="1" applyAlignment="1" applyProtection="1">
      <alignment horizontal="center" vertical="center" wrapText="1"/>
    </xf>
    <xf numFmtId="0" fontId="81" fillId="20" borderId="33" xfId="0" applyFont="1" applyFill="1" applyBorder="1" applyAlignment="1">
      <alignment horizontal="center" vertical="center"/>
    </xf>
    <xf numFmtId="0" fontId="81" fillId="20" borderId="34" xfId="0" applyFont="1" applyFill="1" applyBorder="1" applyAlignment="1">
      <alignment horizontal="center" vertical="center"/>
    </xf>
    <xf numFmtId="0" fontId="81" fillId="20" borderId="35" xfId="0" applyFont="1" applyFill="1" applyBorder="1" applyAlignment="1">
      <alignment horizontal="center" vertical="center"/>
    </xf>
    <xf numFmtId="169" fontId="81" fillId="6" borderId="38" xfId="2" applyNumberFormat="1" applyFont="1" applyFill="1" applyBorder="1" applyAlignment="1">
      <alignment horizontal="center"/>
    </xf>
    <xf numFmtId="169" fontId="81" fillId="6" borderId="39" xfId="2" applyNumberFormat="1" applyFont="1" applyFill="1" applyBorder="1" applyAlignment="1">
      <alignment horizontal="center"/>
    </xf>
    <xf numFmtId="169" fontId="81" fillId="6" borderId="40" xfId="2" applyNumberFormat="1" applyFont="1" applyFill="1" applyBorder="1" applyAlignment="1">
      <alignment horizontal="center"/>
    </xf>
    <xf numFmtId="169" fontId="81" fillId="0" borderId="38" xfId="2" applyNumberFormat="1" applyFont="1" applyFill="1" applyBorder="1" applyAlignment="1">
      <alignment horizontal="center"/>
    </xf>
    <xf numFmtId="169" fontId="81" fillId="0" borderId="39" xfId="2" applyNumberFormat="1" applyFont="1" applyFill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169" fontId="131" fillId="0" borderId="39" xfId="0" applyNumberFormat="1" applyFont="1" applyBorder="1" applyAlignment="1">
      <alignment horizontal="center"/>
    </xf>
    <xf numFmtId="0" fontId="109" fillId="21" borderId="0" xfId="0" applyFont="1" applyFill="1" applyAlignment="1">
      <alignment horizontal="left" vertical="top" wrapText="1"/>
    </xf>
    <xf numFmtId="0" fontId="82" fillId="21" borderId="0" xfId="0" applyFont="1" applyFill="1" applyAlignment="1">
      <alignment horizontal="left" vertical="top" wrapText="1"/>
    </xf>
    <xf numFmtId="169" fontId="81" fillId="0" borderId="39" xfId="0" applyNumberFormat="1" applyFont="1" applyBorder="1" applyAlignment="1">
      <alignment horizontal="center"/>
    </xf>
    <xf numFmtId="0" fontId="91" fillId="11" borderId="118" xfId="0" applyFont="1" applyFill="1" applyBorder="1" applyAlignment="1">
      <alignment horizontal="center" vertical="center"/>
    </xf>
    <xf numFmtId="0" fontId="75" fillId="11" borderId="39" xfId="0" applyFont="1" applyFill="1" applyBorder="1" applyAlignment="1">
      <alignment vertical="center"/>
    </xf>
    <xf numFmtId="0" fontId="75" fillId="11" borderId="119" xfId="0" applyFont="1" applyFill="1" applyBorder="1" applyAlignment="1">
      <alignment vertical="center"/>
    </xf>
    <xf numFmtId="169" fontId="3" fillId="0" borderId="32" xfId="2" applyNumberFormat="1" applyBorder="1" applyAlignment="1">
      <alignment horizontal="center" vertical="center"/>
    </xf>
    <xf numFmtId="169" fontId="3" fillId="0" borderId="32" xfId="0" applyNumberFormat="1" applyFont="1" applyBorder="1" applyAlignment="1">
      <alignment vertical="center"/>
    </xf>
    <xf numFmtId="0" fontId="94" fillId="21" borderId="113" xfId="0" applyFont="1" applyFill="1" applyBorder="1" applyAlignment="1" applyProtection="1">
      <alignment horizontal="center" vertical="center"/>
      <protection locked="0"/>
    </xf>
    <xf numFmtId="0" fontId="94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 wrapText="1"/>
      <protection locked="0"/>
    </xf>
    <xf numFmtId="0" fontId="76" fillId="21" borderId="49" xfId="0" applyFont="1" applyFill="1" applyBorder="1" applyAlignment="1">
      <alignment horizontal="center" vertical="center" wrapText="1"/>
    </xf>
    <xf numFmtId="0" fontId="76" fillId="21" borderId="113" xfId="0" applyFont="1" applyFill="1" applyBorder="1" applyAlignment="1" applyProtection="1">
      <alignment horizontal="center" vertical="center"/>
      <protection locked="0"/>
    </xf>
    <xf numFmtId="0" fontId="76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/>
      <protection locked="0"/>
    </xf>
    <xf numFmtId="0" fontId="76" fillId="21" borderId="49" xfId="0" applyFont="1" applyFill="1" applyBorder="1" applyAlignment="1" applyProtection="1">
      <alignment horizontal="center" vertical="center"/>
      <protection locked="0"/>
    </xf>
    <xf numFmtId="0" fontId="86" fillId="11" borderId="31" xfId="0" applyFont="1" applyFill="1" applyBorder="1" applyAlignment="1">
      <alignment horizontal="center" vertical="center" wrapText="1"/>
    </xf>
    <xf numFmtId="0" fontId="43" fillId="20" borderId="107" xfId="0" applyFont="1" applyFill="1" applyBorder="1" applyAlignment="1">
      <alignment horizontal="center" vertical="center"/>
    </xf>
    <xf numFmtId="0" fontId="43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1" fillId="0" borderId="116" xfId="2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6" fillId="0" borderId="0" xfId="0" applyFont="1" applyAlignment="1">
      <alignment horizontal="center" vertical="center" wrapText="1"/>
    </xf>
    <xf numFmtId="0" fontId="81" fillId="21" borderId="0" xfId="0" applyFont="1" applyFill="1" applyAlignment="1">
      <alignment horizontal="center" vertic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>
      <alignment horizontal="center" vertical="center" wrapText="1"/>
    </xf>
    <xf numFmtId="169" fontId="85" fillId="21" borderId="0" xfId="2" applyNumberFormat="1" applyFont="1" applyFill="1" applyBorder="1" applyAlignment="1">
      <alignment horizontal="center"/>
    </xf>
    <xf numFmtId="0" fontId="84" fillId="21" borderId="0" xfId="0" applyFont="1" applyFill="1" applyBorder="1" applyAlignment="1" applyProtection="1">
      <alignment horizontal="center"/>
      <protection locked="0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7" fillId="21" borderId="29" xfId="7" applyFont="1" applyFill="1" applyBorder="1" applyAlignment="1" applyProtection="1">
      <alignment horizontal="center" vertical="center"/>
      <protection locked="0"/>
    </xf>
    <xf numFmtId="0" fontId="81" fillId="0" borderId="27" xfId="7" applyFont="1" applyBorder="1" applyAlignment="1" applyProtection="1">
      <alignment horizontal="left" vertical="center"/>
      <protection locked="0"/>
    </xf>
    <xf numFmtId="0" fontId="81" fillId="0" borderId="28" xfId="7" applyFont="1" applyBorder="1" applyAlignment="1" applyProtection="1">
      <alignment horizontal="left" vertical="center"/>
      <protection locked="0"/>
    </xf>
    <xf numFmtId="0" fontId="81" fillId="0" borderId="29" xfId="7" applyFont="1" applyBorder="1" applyAlignment="1" applyProtection="1">
      <alignment horizontal="left" vertical="center"/>
      <protection locked="0"/>
    </xf>
    <xf numFmtId="0" fontId="3" fillId="2" borderId="27" xfId="7" applyFont="1" applyFill="1" applyBorder="1" applyAlignment="1" applyProtection="1">
      <alignment horizontal="center" vertical="center" wrapText="1"/>
      <protection locked="0"/>
    </xf>
    <xf numFmtId="0" fontId="3" fillId="2" borderId="28" xfId="7" applyFont="1" applyFill="1" applyBorder="1" applyAlignment="1" applyProtection="1">
      <alignment horizontal="center" vertical="center" wrapText="1"/>
      <protection locked="0"/>
    </xf>
    <xf numFmtId="0" fontId="3" fillId="2" borderId="29" xfId="7" applyFont="1" applyFill="1" applyBorder="1" applyAlignment="1" applyProtection="1">
      <alignment horizontal="center" vertical="center" wrapText="1"/>
      <protection locked="0"/>
    </xf>
    <xf numFmtId="0" fontId="3" fillId="0" borderId="27" xfId="7" applyFont="1" applyBorder="1" applyAlignment="1" applyProtection="1">
      <alignment horizontal="center" vertical="center" wrapText="1"/>
      <protection locked="0"/>
    </xf>
    <xf numFmtId="0" fontId="3" fillId="0" borderId="29" xfId="7" applyFont="1" applyBorder="1" applyAlignment="1" applyProtection="1">
      <alignment horizontal="center" vertical="center" wrapText="1"/>
      <protection locked="0"/>
    </xf>
    <xf numFmtId="0" fontId="113" fillId="2" borderId="0" xfId="7" applyFont="1" applyFill="1" applyAlignment="1" applyProtection="1">
      <alignment horizontal="right" wrapText="1"/>
      <protection locked="0"/>
    </xf>
    <xf numFmtId="0" fontId="114" fillId="0" borderId="0" xfId="7" applyFont="1" applyAlignment="1">
      <alignment horizontal="right" wrapText="1"/>
    </xf>
    <xf numFmtId="0" fontId="3" fillId="23" borderId="0" xfId="7" applyFont="1" applyFill="1" applyAlignment="1" applyProtection="1">
      <alignment horizontal="center"/>
      <protection locked="0"/>
    </xf>
    <xf numFmtId="0" fontId="116" fillId="11" borderId="27" xfId="7" applyFont="1" applyFill="1" applyBorder="1" applyAlignment="1" applyProtection="1">
      <alignment horizontal="center" vertical="center" wrapText="1"/>
      <protection locked="0"/>
    </xf>
    <xf numFmtId="0" fontId="116" fillId="11" borderId="28" xfId="7" applyFont="1" applyFill="1" applyBorder="1" applyAlignment="1" applyProtection="1">
      <alignment horizontal="center" vertical="center" wrapText="1"/>
      <protection locked="0"/>
    </xf>
    <xf numFmtId="0" fontId="116" fillId="11" borderId="29" xfId="7" applyFont="1" applyFill="1" applyBorder="1" applyAlignment="1" applyProtection="1">
      <alignment horizontal="center" vertical="center" wrapText="1"/>
      <protection locked="0"/>
    </xf>
    <xf numFmtId="0" fontId="116" fillId="11" borderId="27" xfId="7" applyFont="1" applyFill="1" applyBorder="1" applyAlignment="1">
      <alignment horizontal="center" vertical="center" wrapText="1"/>
    </xf>
    <xf numFmtId="0" fontId="116" fillId="11" borderId="29" xfId="7" applyFont="1" applyFill="1" applyBorder="1" applyAlignment="1">
      <alignment horizontal="center" vertical="center" wrapText="1"/>
    </xf>
    <xf numFmtId="166" fontId="43" fillId="22" borderId="23" xfId="2" applyNumberFormat="1" applyFont="1" applyFill="1" applyBorder="1" applyAlignment="1">
      <alignment horizontal="right"/>
    </xf>
    <xf numFmtId="166" fontId="43" fillId="22" borderId="24" xfId="2" applyNumberFormat="1" applyFont="1" applyFill="1" applyBorder="1" applyAlignment="1">
      <alignment horizontal="right"/>
    </xf>
    <xf numFmtId="166" fontId="43" fillId="22" borderId="25" xfId="2" applyNumberFormat="1" applyFont="1" applyFill="1" applyBorder="1" applyAlignment="1">
      <alignment horizontal="right"/>
    </xf>
    <xf numFmtId="166" fontId="43" fillId="0" borderId="23" xfId="0" applyNumberFormat="1" applyFont="1" applyBorder="1" applyAlignment="1">
      <alignment horizontal="right"/>
    </xf>
    <xf numFmtId="0" fontId="43" fillId="0" borderId="24" xfId="0" applyFont="1" applyBorder="1" applyAlignment="1">
      <alignment horizontal="right"/>
    </xf>
    <xf numFmtId="0" fontId="43" fillId="0" borderId="25" xfId="0" applyFont="1" applyBorder="1" applyAlignment="1">
      <alignment horizontal="right"/>
    </xf>
    <xf numFmtId="166" fontId="43" fillId="22" borderId="2" xfId="0" applyNumberFormat="1" applyFont="1" applyFill="1" applyBorder="1" applyAlignment="1">
      <alignment horizontal="right"/>
    </xf>
    <xf numFmtId="166" fontId="43" fillId="22" borderId="5" xfId="0" applyNumberFormat="1" applyFont="1" applyFill="1" applyBorder="1" applyAlignment="1">
      <alignment horizontal="right"/>
    </xf>
    <xf numFmtId="0" fontId="33" fillId="0" borderId="23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43" fillId="22" borderId="24" xfId="0" applyNumberFormat="1" applyFont="1" applyFill="1" applyBorder="1" applyAlignment="1">
      <alignment horizontal="center"/>
    </xf>
    <xf numFmtId="166" fontId="43" fillId="22" borderId="25" xfId="0" applyNumberFormat="1" applyFont="1" applyFill="1" applyBorder="1" applyAlignment="1">
      <alignment horizontal="center"/>
    </xf>
    <xf numFmtId="166" fontId="43" fillId="22" borderId="23" xfId="0" applyNumberFormat="1" applyFont="1" applyFill="1" applyBorder="1" applyAlignment="1">
      <alignment horizontal="right"/>
    </xf>
    <xf numFmtId="0" fontId="43" fillId="22" borderId="24" xfId="0" applyFont="1" applyFill="1" applyBorder="1" applyAlignment="1">
      <alignment horizontal="right"/>
    </xf>
    <xf numFmtId="0" fontId="43" fillId="22" borderId="25" xfId="0" applyFont="1" applyFill="1" applyBorder="1" applyAlignment="1">
      <alignment horizontal="right"/>
    </xf>
    <xf numFmtId="166" fontId="43" fillId="22" borderId="24" xfId="0" applyNumberFormat="1" applyFont="1" applyFill="1" applyBorder="1" applyAlignment="1">
      <alignment horizontal="right"/>
    </xf>
    <xf numFmtId="166" fontId="43" fillId="0" borderId="24" xfId="0" applyNumberFormat="1" applyFont="1" applyBorder="1" applyAlignment="1">
      <alignment horizontal="right"/>
    </xf>
    <xf numFmtId="166" fontId="43" fillId="0" borderId="25" xfId="0" applyNumberFormat="1" applyFont="1" applyBorder="1" applyAlignment="1">
      <alignment horizontal="right"/>
    </xf>
    <xf numFmtId="0" fontId="69" fillId="0" borderId="19" xfId="0" applyFont="1" applyBorder="1" applyAlignment="1">
      <alignment horizontal="center"/>
    </xf>
    <xf numFmtId="0" fontId="33" fillId="0" borderId="3" xfId="0" applyFont="1" applyBorder="1" applyAlignment="1">
      <alignment horizontal="right"/>
    </xf>
    <xf numFmtId="0" fontId="33" fillId="0" borderId="0" xfId="0" applyFont="1" applyAlignment="1">
      <alignment horizontal="right"/>
    </xf>
    <xf numFmtId="166" fontId="43" fillId="25" borderId="24" xfId="0" applyNumberFormat="1" applyFont="1" applyFill="1" applyBorder="1" applyAlignment="1">
      <alignment horizontal="right"/>
    </xf>
    <xf numFmtId="166" fontId="43" fillId="25" borderId="25" xfId="0" applyNumberFormat="1" applyFont="1" applyFill="1" applyBorder="1" applyAlignment="1">
      <alignment horizontal="right"/>
    </xf>
    <xf numFmtId="166" fontId="43" fillId="22" borderId="25" xfId="0" applyNumberFormat="1" applyFont="1" applyFill="1" applyBorder="1" applyAlignment="1">
      <alignment horizontal="right"/>
    </xf>
    <xf numFmtId="0" fontId="33" fillId="13" borderId="23" xfId="0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center" vertical="center"/>
    </xf>
    <xf numFmtId="0" fontId="33" fillId="13" borderId="25" xfId="0" applyFont="1" applyFill="1" applyBorder="1" applyAlignment="1">
      <alignment horizontal="center" vertical="center"/>
    </xf>
    <xf numFmtId="1" fontId="9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8" fillId="0" borderId="16" xfId="5" applyFont="1" applyBorder="1" applyAlignment="1">
      <alignment horizontal="center"/>
    </xf>
    <xf numFmtId="0" fontId="18" fillId="0" borderId="30" xfId="5" applyFont="1" applyBorder="1" applyAlignment="1">
      <alignment horizontal="center"/>
    </xf>
    <xf numFmtId="0" fontId="7" fillId="0" borderId="14" xfId="5" applyFont="1" applyBorder="1" applyAlignment="1">
      <alignment horizontal="center" vertical="center"/>
    </xf>
    <xf numFmtId="0" fontId="7" fillId="0" borderId="15" xfId="5" applyFont="1" applyBorder="1" applyAlignment="1">
      <alignment horizontal="center" vertical="center"/>
    </xf>
    <xf numFmtId="0" fontId="7" fillId="0" borderId="13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0" fontId="10" fillId="0" borderId="28" xfId="7" applyFont="1" applyBorder="1" applyAlignment="1" applyProtection="1">
      <alignment horizontal="center" vertical="center"/>
      <protection locked="0"/>
    </xf>
    <xf numFmtId="0" fontId="10" fillId="0" borderId="29" xfId="7" applyFont="1" applyBorder="1" applyAlignment="1" applyProtection="1">
      <alignment horizontal="center" vertical="center"/>
      <protection locked="0"/>
    </xf>
    <xf numFmtId="0" fontId="73" fillId="21" borderId="14" xfId="7" applyFont="1" applyFill="1" applyBorder="1" applyAlignment="1" applyProtection="1">
      <alignment horizontal="center" vertical="center"/>
      <protection locked="0"/>
    </xf>
    <xf numFmtId="0" fontId="73" fillId="21" borderId="15" xfId="7" applyFont="1" applyFill="1" applyBorder="1" applyAlignment="1" applyProtection="1">
      <alignment horizontal="center" vertical="center"/>
      <protection locked="0"/>
    </xf>
    <xf numFmtId="0" fontId="73" fillId="21" borderId="9" xfId="7" applyFont="1" applyFill="1" applyBorder="1" applyAlignment="1" applyProtection="1">
      <alignment horizontal="center" vertical="center"/>
      <protection locked="0"/>
    </xf>
    <xf numFmtId="0" fontId="73" fillId="21" borderId="10" xfId="7" applyFont="1" applyFill="1" applyBorder="1" applyAlignment="1" applyProtection="1">
      <alignment horizontal="center" vertical="center"/>
      <protection locked="0"/>
    </xf>
    <xf numFmtId="0" fontId="72" fillId="0" borderId="14" xfId="7" applyFont="1" applyBorder="1" applyAlignment="1" applyProtection="1">
      <alignment horizontal="center" vertical="center" wrapText="1"/>
      <protection locked="0"/>
    </xf>
    <xf numFmtId="0" fontId="72" fillId="0" borderId="13" xfId="7" applyFont="1" applyBorder="1" applyAlignment="1" applyProtection="1">
      <alignment horizontal="center" vertical="center" wrapText="1"/>
      <protection locked="0"/>
    </xf>
    <xf numFmtId="0" fontId="72" fillId="0" borderId="9" xfId="7" applyFont="1" applyBorder="1" applyAlignment="1" applyProtection="1">
      <alignment horizontal="center" vertical="center" wrapText="1"/>
      <protection locked="0"/>
    </xf>
    <xf numFmtId="0" fontId="72" fillId="0" borderId="11" xfId="7" applyFont="1" applyBorder="1" applyAlignment="1" applyProtection="1">
      <alignment horizontal="center" vertical="center" wrapText="1"/>
      <protection locked="0"/>
    </xf>
    <xf numFmtId="0" fontId="29" fillId="0" borderId="13" xfId="7" applyFont="1" applyBorder="1" applyAlignment="1" applyProtection="1">
      <alignment horizontal="center" vertical="center"/>
      <protection locked="0"/>
    </xf>
    <xf numFmtId="0" fontId="29" fillId="0" borderId="11" xfId="7" applyFont="1" applyBorder="1" applyAlignment="1" applyProtection="1">
      <alignment horizontal="center" vertical="center"/>
      <protection locked="0"/>
    </xf>
    <xf numFmtId="0" fontId="71" fillId="21" borderId="14" xfId="7" applyFont="1" applyFill="1" applyBorder="1" applyAlignment="1" applyProtection="1">
      <alignment horizontal="center" vertical="center" wrapText="1"/>
      <protection locked="0"/>
    </xf>
    <xf numFmtId="0" fontId="71" fillId="21" borderId="15" xfId="7" applyFont="1" applyFill="1" applyBorder="1" applyAlignment="1" applyProtection="1">
      <alignment horizontal="center" vertical="center" wrapText="1"/>
      <protection locked="0"/>
    </xf>
    <xf numFmtId="0" fontId="71" fillId="21" borderId="13" xfId="7" applyFont="1" applyFill="1" applyBorder="1" applyAlignment="1" applyProtection="1">
      <alignment horizontal="center" vertical="center" wrapText="1"/>
      <protection locked="0"/>
    </xf>
    <xf numFmtId="0" fontId="71" fillId="21" borderId="9" xfId="7" applyFont="1" applyFill="1" applyBorder="1" applyAlignment="1" applyProtection="1">
      <alignment horizontal="center" vertical="center" wrapText="1"/>
      <protection locked="0"/>
    </xf>
    <xf numFmtId="0" fontId="71" fillId="21" borderId="10" xfId="7" applyFont="1" applyFill="1" applyBorder="1" applyAlignment="1" applyProtection="1">
      <alignment horizontal="center" vertical="center" wrapText="1"/>
      <protection locked="0"/>
    </xf>
    <xf numFmtId="0" fontId="71" fillId="21" borderId="11" xfId="7" applyFont="1" applyFill="1" applyBorder="1" applyAlignment="1" applyProtection="1">
      <alignment horizontal="center" vertical="center" wrapText="1"/>
      <protection locked="0"/>
    </xf>
    <xf numFmtId="14" fontId="21" fillId="2" borderId="15" xfId="7" applyNumberFormat="1" applyFont="1" applyFill="1" applyBorder="1" applyAlignment="1" applyProtection="1">
      <alignment horizontal="center"/>
      <protection locked="0"/>
    </xf>
    <xf numFmtId="0" fontId="21" fillId="2" borderId="13" xfId="7" applyFont="1" applyFill="1" applyBorder="1" applyAlignment="1" applyProtection="1">
      <alignment horizontal="center"/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8" fillId="2" borderId="10" xfId="7" applyFill="1" applyBorder="1" applyAlignment="1" applyProtection="1">
      <alignment horizontal="right"/>
      <protection locked="0"/>
    </xf>
    <xf numFmtId="1" fontId="8" fillId="2" borderId="10" xfId="7" applyNumberFormat="1" applyFill="1" applyBorder="1" applyAlignment="1" applyProtection="1">
      <alignment horizontal="center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5" fillId="9" borderId="29" xfId="7" applyFont="1" applyFill="1" applyBorder="1" applyAlignment="1" applyProtection="1">
      <alignment horizontal="center" vertical="center"/>
      <protection locked="0"/>
    </xf>
    <xf numFmtId="0" fontId="8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8" fillId="0" borderId="0" xfId="7" applyAlignment="1" applyProtection="1">
      <alignment horizontal="center"/>
      <protection locked="0"/>
    </xf>
    <xf numFmtId="0" fontId="0" fillId="0" borderId="12" xfId="0" applyBorder="1"/>
    <xf numFmtId="2" fontId="8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3" fillId="0" borderId="6" xfId="0" applyFont="1" applyBorder="1"/>
    <xf numFmtId="0" fontId="23" fillId="0" borderId="20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8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5" applyFont="1" applyFill="1"/>
    <xf numFmtId="0" fontId="117" fillId="0" borderId="0" xfId="5" applyFont="1" applyFill="1"/>
  </cellXfs>
  <cellStyles count="12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 4" xfId="11"/>
    <cellStyle name="Normal_Sheet1" xfId="7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65" Type="http://schemas.microsoft.com/office/2007/relationships/hdphoto" Target="../media/hdphoto8.wdp"/><Relationship Id="rId181" Type="http://schemas.openxmlformats.org/officeDocument/2006/relationships/image" Target="../media/image173.jpeg"/><Relationship Id="rId186" Type="http://schemas.openxmlformats.org/officeDocument/2006/relationships/image" Target="../media/image178.jpg"/><Relationship Id="rId216" Type="http://schemas.openxmlformats.org/officeDocument/2006/relationships/image" Target="../media/image208.jpeg"/><Relationship Id="rId211" Type="http://schemas.openxmlformats.org/officeDocument/2006/relationships/image" Target="../media/image20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gif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microsoft.com/office/2007/relationships/hdphoto" Target="../media/hdphoto3.wdp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microsoft.com/office/2007/relationships/hdphoto" Target="../media/hdphoto6.wdp"/><Relationship Id="rId166" Type="http://schemas.openxmlformats.org/officeDocument/2006/relationships/image" Target="../media/image158.jpg"/><Relationship Id="rId182" Type="http://schemas.openxmlformats.org/officeDocument/2006/relationships/image" Target="../media/image174.jp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254000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88825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28276</xdr:colOff>
      <xdr:row>496</xdr:row>
      <xdr:rowOff>104408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84401</xdr:colOff>
      <xdr:row>496</xdr:row>
      <xdr:rowOff>126297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274409</xdr:colOff>
      <xdr:row>496</xdr:row>
      <xdr:rowOff>66308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44450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124511</xdr:colOff>
      <xdr:row>104</xdr:row>
      <xdr:rowOff>120750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9680</xdr:colOff>
      <xdr:row>391</xdr:row>
      <xdr:rowOff>124187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9705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295006</xdr:colOff>
      <xdr:row>496</xdr:row>
      <xdr:rowOff>82818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44724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86440</xdr:colOff>
      <xdr:row>426</xdr:row>
      <xdr:rowOff>66314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102558</xdr:colOff>
      <xdr:row>30</xdr:row>
      <xdr:rowOff>159171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181303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11617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85138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83970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159385</xdr:colOff>
      <xdr:row>291</xdr:row>
      <xdr:rowOff>140337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278764</xdr:colOff>
      <xdr:row>291</xdr:row>
      <xdr:rowOff>140337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141607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259164</xdr:colOff>
      <xdr:row>313</xdr:row>
      <xdr:rowOff>163196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84313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444500</xdr:colOff>
      <xdr:row>313</xdr:row>
      <xdr:rowOff>125108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202086</xdr:colOff>
      <xdr:row>302</xdr:row>
      <xdr:rowOff>140335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332106</xdr:colOff>
      <xdr:row>302</xdr:row>
      <xdr:rowOff>140292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292779</xdr:colOff>
      <xdr:row>302</xdr:row>
      <xdr:rowOff>141605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427224</xdr:colOff>
      <xdr:row>280</xdr:row>
      <xdr:rowOff>101873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105682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178434</xdr:colOff>
      <xdr:row>324</xdr:row>
      <xdr:rowOff>104412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313770</xdr:colOff>
      <xdr:row>324</xdr:row>
      <xdr:rowOff>104412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277494</xdr:colOff>
      <xdr:row>346</xdr:row>
      <xdr:rowOff>105633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87517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9525</xdr:colOff>
      <xdr:row>379</xdr:row>
      <xdr:rowOff>161921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86470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393063</xdr:colOff>
      <xdr:row>506</xdr:row>
      <xdr:rowOff>141865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180975</xdr:colOff>
      <xdr:row>84</xdr:row>
      <xdr:rowOff>140882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83732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103326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181610</xdr:colOff>
      <xdr:row>84</xdr:row>
      <xdr:rowOff>141921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144692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121285</xdr:colOff>
      <xdr:row>94</xdr:row>
      <xdr:rowOff>107676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88264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158750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161717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86440</xdr:colOff>
      <xdr:row>104</xdr:row>
      <xdr:rowOff>122916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273050</xdr:colOff>
      <xdr:row>104</xdr:row>
      <xdr:rowOff>121556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159899</xdr:colOff>
      <xdr:row>104</xdr:row>
      <xdr:rowOff>122916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257549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220344</xdr:colOff>
      <xdr:row>114</xdr:row>
      <xdr:rowOff>104410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354964</xdr:colOff>
      <xdr:row>335</xdr:row>
      <xdr:rowOff>67581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144688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220345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139780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315072</xdr:colOff>
      <xdr:row>136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105681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371579</xdr:colOff>
      <xdr:row>136</xdr:row>
      <xdr:rowOff>86543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238019</xdr:colOff>
      <xdr:row>147</xdr:row>
      <xdr:rowOff>30613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46131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254282</xdr:colOff>
      <xdr:row>147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66779</xdr:colOff>
      <xdr:row>147</xdr:row>
      <xdr:rowOff>29347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87219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258563</xdr:colOff>
      <xdr:row>158</xdr:row>
      <xdr:rowOff>50563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144741</xdr:colOff>
      <xdr:row>158</xdr:row>
      <xdr:rowOff>68493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50563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102638</xdr:colOff>
      <xdr:row>158</xdr:row>
      <xdr:rowOff>48087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408641</xdr:colOff>
      <xdr:row>291</xdr:row>
      <xdr:rowOff>140337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295003</xdr:colOff>
      <xdr:row>357</xdr:row>
      <xdr:rowOff>104400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105001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104986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237108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124888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333001</xdr:colOff>
      <xdr:row>526</xdr:row>
      <xdr:rowOff>103386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105306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67206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200961</xdr:colOff>
      <xdr:row>516</xdr:row>
      <xdr:rowOff>143219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311337</xdr:colOff>
      <xdr:row>526</xdr:row>
      <xdr:rowOff>85829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315339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102533</xdr:colOff>
      <xdr:row>526</xdr:row>
      <xdr:rowOff>163149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64510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287550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212724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120836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68542</xdr:colOff>
      <xdr:row>38</xdr:row>
      <xdr:rowOff>161667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219260</xdr:colOff>
      <xdr:row>38</xdr:row>
      <xdr:rowOff>140299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10944</xdr:colOff>
      <xdr:row>538</xdr:row>
      <xdr:rowOff>125471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31078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83410</xdr:colOff>
      <xdr:row>538</xdr:row>
      <xdr:rowOff>103955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258704</xdr:colOff>
      <xdr:row>537</xdr:row>
      <xdr:rowOff>104851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388306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430749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8352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47363</xdr:colOff>
      <xdr:row>558</xdr:row>
      <xdr:rowOff>121324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316267</xdr:colOff>
      <xdr:row>450</xdr:row>
      <xdr:rowOff>122333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183963</xdr:colOff>
      <xdr:row>558</xdr:row>
      <xdr:rowOff>106270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162858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161909</xdr:colOff>
      <xdr:row>558</xdr:row>
      <xdr:rowOff>65929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335659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47891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425852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412031</xdr:colOff>
      <xdr:row>379</xdr:row>
      <xdr:rowOff>163311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237833</xdr:colOff>
      <xdr:row>450</xdr:row>
      <xdr:rowOff>125482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355520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425638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45090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278413</xdr:colOff>
      <xdr:row>256</xdr:row>
      <xdr:rowOff>164853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158750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163664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64247</xdr:colOff>
      <xdr:row>192</xdr:row>
      <xdr:rowOff>141210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486548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294901</xdr:colOff>
      <xdr:row>182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448049</xdr:colOff>
      <xdr:row>182</xdr:row>
      <xdr:rowOff>87443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219449</xdr:colOff>
      <xdr:row>182</xdr:row>
      <xdr:rowOff>123899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407333</xdr:colOff>
      <xdr:row>192</xdr:row>
      <xdr:rowOff>121584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257549</xdr:colOff>
      <xdr:row>202</xdr:row>
      <xdr:rowOff>163232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255654</xdr:colOff>
      <xdr:row>202</xdr:row>
      <xdr:rowOff>124734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139811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258482</xdr:colOff>
      <xdr:row>202</xdr:row>
      <xdr:rowOff>88713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200772</xdr:colOff>
      <xdr:row>202</xdr:row>
      <xdr:rowOff>140261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142502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107764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255014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254000</xdr:colOff>
      <xdr:row>234</xdr:row>
      <xdr:rowOff>142875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409575</xdr:colOff>
      <xdr:row>234</xdr:row>
      <xdr:rowOff>47625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392578</xdr:colOff>
      <xdr:row>234</xdr:row>
      <xdr:rowOff>101600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448121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141223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164394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158750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160084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234950</xdr:colOff>
      <xdr:row>256</xdr:row>
      <xdr:rowOff>162624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162560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121829</xdr:colOff>
      <xdr:row>403</xdr:row>
      <xdr:rowOff>11614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163933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164929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163419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219822</xdr:colOff>
      <xdr:row>357</xdr:row>
      <xdr:rowOff>160057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275852</xdr:colOff>
      <xdr:row>357</xdr:row>
      <xdr:rowOff>160057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258296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86220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101600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235357</xdr:colOff>
      <xdr:row>114</xdr:row>
      <xdr:rowOff>159143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353742</xdr:colOff>
      <xdr:row>66</xdr:row>
      <xdr:rowOff>10840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68763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82550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123888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162964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120650</xdr:colOff>
      <xdr:row>212</xdr:row>
      <xdr:rowOff>105682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120651</xdr:colOff>
      <xdr:row>267</xdr:row>
      <xdr:rowOff>160138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143304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139700</xdr:colOff>
      <xdr:row>506</xdr:row>
      <xdr:rowOff>180896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142843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219363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142840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139700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161887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158750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50799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236347</xdr:colOff>
      <xdr:row>426</xdr:row>
      <xdr:rowOff>122735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258571</xdr:colOff>
      <xdr:row>426</xdr:row>
      <xdr:rowOff>124281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368934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82550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292100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274564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15876</xdr:colOff>
      <xdr:row>588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158750</xdr:colOff>
      <xdr:row>291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107482</xdr:colOff>
      <xdr:row>368</xdr:row>
      <xdr:rowOff>12699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12017</xdr:colOff>
      <xdr:row>503</xdr:row>
      <xdr:rowOff>6489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371475</xdr:colOff>
      <xdr:row>548</xdr:row>
      <xdr:rowOff>101600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311150</xdr:colOff>
      <xdr:row>71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254000</xdr:colOff>
      <xdr:row>71</xdr:row>
      <xdr:rowOff>162748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181929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330200</xdr:colOff>
      <xdr:row>72</xdr:row>
      <xdr:rowOff>10984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638810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95"/>
  <sheetViews>
    <sheetView showGridLines="0" zoomScaleNormal="100" zoomScaleSheetLayoutView="100" workbookViewId="0">
      <pane ySplit="1" topLeftCell="A14" activePane="bottomLeft" state="frozen"/>
      <selection pane="bottomLeft" activeCell="L29" sqref="L29:M29"/>
    </sheetView>
  </sheetViews>
  <sheetFormatPr baseColWidth="10" defaultColWidth="9.140625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3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 x14ac:dyDescent="0.25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28" t="s">
        <v>488</v>
      </c>
      <c r="V1" s="928"/>
      <c r="W1" s="928"/>
      <c r="X1" s="928"/>
      <c r="Y1" s="650">
        <f>Y588</f>
        <v>2063.3199999999997</v>
      </c>
      <c r="Z1" s="650"/>
      <c r="AA1" s="650"/>
      <c r="AB1" s="366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727"/>
      <c r="E11" s="728"/>
      <c r="F11" s="728"/>
      <c r="G11" s="728"/>
      <c r="H11" s="728"/>
      <c r="I11" s="219"/>
      <c r="J11" s="726"/>
      <c r="K11" s="725"/>
      <c r="L11" s="725"/>
      <c r="M11" s="725"/>
      <c r="N11" s="725"/>
      <c r="O11" s="219"/>
      <c r="P11" s="219"/>
      <c r="Q11" s="729"/>
      <c r="R11" s="730"/>
      <c r="S11" s="730"/>
      <c r="T11" s="730"/>
      <c r="U11" s="730"/>
      <c r="V11" s="219"/>
      <c r="W11" s="724"/>
      <c r="X11" s="725"/>
      <c r="Y11" s="725"/>
      <c r="Z11" s="725"/>
      <c r="AA11" s="725"/>
      <c r="AB11" s="219"/>
    </row>
    <row r="12" spans="1:28" x14ac:dyDescent="0.2">
      <c r="A12" s="219"/>
      <c r="B12" s="219"/>
      <c r="C12" s="219"/>
      <c r="D12" s="728"/>
      <c r="E12" s="728"/>
      <c r="F12" s="728"/>
      <c r="G12" s="728"/>
      <c r="H12" s="728"/>
      <c r="I12" s="219"/>
      <c r="J12" s="725"/>
      <c r="K12" s="725"/>
      <c r="L12" s="725"/>
      <c r="M12" s="725"/>
      <c r="N12" s="725"/>
      <c r="O12" s="219"/>
      <c r="P12" s="219"/>
      <c r="Q12" s="730"/>
      <c r="R12" s="730"/>
      <c r="S12" s="730"/>
      <c r="T12" s="730"/>
      <c r="U12" s="730"/>
      <c r="V12" s="219"/>
      <c r="W12" s="725"/>
      <c r="X12" s="725"/>
      <c r="Y12" s="725"/>
      <c r="Z12" s="725"/>
      <c r="AA12" s="725"/>
      <c r="AB12" s="219"/>
    </row>
    <row r="13" spans="1:28" x14ac:dyDescent="0.2">
      <c r="A13" s="219"/>
      <c r="B13" s="219"/>
      <c r="C13" s="219"/>
      <c r="D13" s="728"/>
      <c r="E13" s="728"/>
      <c r="F13" s="728"/>
      <c r="G13" s="728"/>
      <c r="H13" s="728"/>
      <c r="I13" s="219"/>
      <c r="J13" s="725"/>
      <c r="K13" s="725"/>
      <c r="L13" s="725"/>
      <c r="M13" s="725"/>
      <c r="N13" s="725"/>
      <c r="O13" s="219"/>
      <c r="P13" s="219"/>
      <c r="Q13" s="730"/>
      <c r="R13" s="730"/>
      <c r="S13" s="730"/>
      <c r="T13" s="730"/>
      <c r="U13" s="730"/>
      <c r="V13" s="219"/>
      <c r="W13" s="725"/>
      <c r="X13" s="725"/>
      <c r="Y13" s="725"/>
      <c r="Z13" s="725"/>
      <c r="AA13" s="725"/>
      <c r="AB13" s="219"/>
    </row>
    <row r="14" spans="1:28" x14ac:dyDescent="0.2">
      <c r="A14" s="219"/>
      <c r="B14" s="219"/>
      <c r="C14" s="219"/>
      <c r="D14" s="728"/>
      <c r="E14" s="728"/>
      <c r="F14" s="728"/>
      <c r="G14" s="728"/>
      <c r="H14" s="728"/>
      <c r="I14" s="219"/>
      <c r="J14" s="725"/>
      <c r="K14" s="725"/>
      <c r="L14" s="725"/>
      <c r="M14" s="725"/>
      <c r="N14" s="725"/>
      <c r="O14" s="219"/>
      <c r="P14" s="219"/>
      <c r="Q14" s="730"/>
      <c r="R14" s="730"/>
      <c r="S14" s="730"/>
      <c r="T14" s="730"/>
      <c r="U14" s="730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4"/>
      <c r="B15" s="232"/>
      <c r="C15" s="232"/>
      <c r="D15" s="232"/>
      <c r="E15" s="232"/>
      <c r="F15" s="232"/>
      <c r="G15" s="232"/>
      <c r="H15" s="232"/>
      <c r="I15" s="232"/>
      <c r="J15" s="725"/>
      <c r="K15" s="725"/>
      <c r="L15" s="725"/>
      <c r="M15" s="725"/>
      <c r="N15" s="725"/>
      <c r="O15" s="232"/>
      <c r="P15" s="232"/>
      <c r="Q15" s="730"/>
      <c r="R15" s="730"/>
      <c r="S15" s="730"/>
      <c r="T15" s="730"/>
      <c r="U15" s="730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3"/>
      <c r="C16" s="333"/>
      <c r="D16" s="998"/>
      <c r="E16" s="999"/>
      <c r="F16" s="999"/>
      <c r="G16" s="999"/>
      <c r="H16" s="999"/>
      <c r="I16" s="334"/>
      <c r="J16" s="998"/>
      <c r="K16" s="999"/>
      <c r="L16" s="999"/>
      <c r="M16" s="999"/>
      <c r="N16" s="999"/>
      <c r="O16" s="334"/>
      <c r="P16" s="334"/>
      <c r="Q16" s="998"/>
      <c r="R16" s="999"/>
      <c r="S16" s="999"/>
      <c r="T16" s="999"/>
      <c r="U16" s="999"/>
      <c r="V16" s="334"/>
      <c r="W16" s="998"/>
      <c r="X16" s="999"/>
      <c r="Y16" s="999"/>
      <c r="Z16" s="999"/>
      <c r="AA16" s="999"/>
      <c r="AB16" s="334"/>
    </row>
    <row r="17" spans="1:28" ht="5.0999999999999996" customHeight="1" x14ac:dyDescent="0.3">
      <c r="A17" s="219"/>
      <c r="B17" s="339"/>
      <c r="C17" s="339"/>
      <c r="D17" s="999"/>
      <c r="E17" s="999"/>
      <c r="F17" s="999"/>
      <c r="G17" s="999"/>
      <c r="H17" s="999"/>
      <c r="I17" s="367"/>
      <c r="J17" s="999"/>
      <c r="K17" s="999"/>
      <c r="L17" s="999"/>
      <c r="M17" s="999"/>
      <c r="N17" s="999"/>
      <c r="O17" s="367"/>
      <c r="P17" s="367"/>
      <c r="Q17" s="999"/>
      <c r="R17" s="999"/>
      <c r="S17" s="999"/>
      <c r="T17" s="999"/>
      <c r="U17" s="999"/>
      <c r="V17" s="367"/>
      <c r="W17" s="999"/>
      <c r="X17" s="999"/>
      <c r="Y17" s="999"/>
      <c r="Z17" s="999"/>
      <c r="AA17" s="999"/>
      <c r="AB17" s="339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4"/>
      <c r="B19" s="232"/>
      <c r="C19" s="232"/>
      <c r="D19" s="670" t="s">
        <v>16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70"/>
      <c r="AB19" s="232"/>
    </row>
    <row r="20" spans="1:28" ht="27" customHeight="1" x14ac:dyDescent="0.2">
      <c r="A20" s="219"/>
      <c r="B20" s="921" t="s">
        <v>230</v>
      </c>
      <c r="C20" s="921"/>
      <c r="D20" s="921"/>
      <c r="E20" s="921"/>
      <c r="F20" s="921"/>
      <c r="G20" s="921"/>
      <c r="H20" s="921"/>
      <c r="I20" s="921"/>
      <c r="J20" s="921"/>
      <c r="K20" s="921"/>
      <c r="L20" s="921"/>
      <c r="M20" s="921"/>
      <c r="N20" s="921"/>
      <c r="O20" s="921"/>
      <c r="P20" s="921"/>
      <c r="Q20" s="921"/>
      <c r="R20" s="921"/>
      <c r="S20" s="921"/>
      <c r="T20" s="921"/>
      <c r="U20" s="921"/>
      <c r="V20" s="921"/>
      <c r="W20" s="921"/>
      <c r="X20" s="921"/>
      <c r="Y20" s="921"/>
      <c r="Z20" s="921"/>
      <c r="AA20" s="921"/>
      <c r="AB20" s="921"/>
    </row>
    <row r="21" spans="1:28" ht="27" customHeight="1" x14ac:dyDescent="0.2">
      <c r="A21" s="219"/>
      <c r="B21" s="219"/>
      <c r="C21" s="219"/>
      <c r="D21" s="1001" t="s">
        <v>375</v>
      </c>
      <c r="E21" s="1002"/>
      <c r="F21" s="1002"/>
      <c r="G21" s="1002"/>
      <c r="H21" s="1002"/>
      <c r="I21" s="1002"/>
      <c r="J21" s="1002"/>
      <c r="K21" s="1002"/>
      <c r="L21" s="1002"/>
      <c r="M21" s="1002"/>
      <c r="N21" s="1002"/>
      <c r="O21" s="1003"/>
      <c r="P21" s="234"/>
      <c r="Q21" s="234"/>
      <c r="R21" s="235"/>
      <c r="S21" s="235"/>
      <c r="T21" s="931"/>
      <c r="U21" s="931"/>
      <c r="V21" s="931"/>
      <c r="W21" s="931"/>
      <c r="X21" s="931"/>
      <c r="Y21" s="931"/>
      <c r="Z21" s="931"/>
      <c r="AA21" s="931"/>
      <c r="AB21" s="219"/>
    </row>
    <row r="22" spans="1:28" s="386" customFormat="1" ht="16.899999999999999" customHeight="1" x14ac:dyDescent="0.2">
      <c r="A22" s="384"/>
      <c r="B22" s="384"/>
      <c r="C22" s="384"/>
      <c r="D22" s="1015" t="s">
        <v>221</v>
      </c>
      <c r="E22" s="1016"/>
      <c r="F22" s="1017"/>
      <c r="G22" s="937"/>
      <c r="H22" s="937"/>
      <c r="I22" s="906" t="s">
        <v>625</v>
      </c>
      <c r="J22" s="906"/>
      <c r="K22" s="907"/>
      <c r="L22" s="959">
        <v>8.9499999999999993</v>
      </c>
      <c r="M22" s="960"/>
      <c r="N22" s="1006">
        <v>0</v>
      </c>
      <c r="O22" s="1007"/>
      <c r="P22" s="385"/>
      <c r="Q22" s="385"/>
      <c r="R22" s="930"/>
      <c r="S22" s="930"/>
      <c r="T22" s="911"/>
      <c r="U22" s="911"/>
      <c r="V22" s="911"/>
      <c r="W22" s="911"/>
      <c r="X22" s="932"/>
      <c r="Y22" s="932"/>
      <c r="Z22" s="932"/>
      <c r="AA22" s="932"/>
      <c r="AB22" s="384"/>
    </row>
    <row r="23" spans="1:28" s="386" customFormat="1" ht="16.899999999999999" customHeight="1" x14ac:dyDescent="0.2">
      <c r="A23" s="384"/>
      <c r="B23" s="384"/>
      <c r="C23" s="384"/>
      <c r="D23" s="933" t="s">
        <v>437</v>
      </c>
      <c r="E23" s="934"/>
      <c r="F23" s="935"/>
      <c r="G23" s="939"/>
      <c r="H23" s="940"/>
      <c r="I23" s="906" t="s">
        <v>626</v>
      </c>
      <c r="J23" s="906"/>
      <c r="K23" s="907"/>
      <c r="L23" s="959">
        <v>8.9499999999999993</v>
      </c>
      <c r="M23" s="960"/>
      <c r="N23" s="1008">
        <v>0</v>
      </c>
      <c r="O23" s="1009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899999999999999" customHeight="1" x14ac:dyDescent="0.2">
      <c r="A24" s="384"/>
      <c r="B24" s="390"/>
      <c r="C24" s="390"/>
      <c r="D24" s="933" t="s">
        <v>222</v>
      </c>
      <c r="E24" s="936"/>
      <c r="F24" s="935"/>
      <c r="G24" s="938"/>
      <c r="H24" s="938"/>
      <c r="I24" s="906" t="s">
        <v>627</v>
      </c>
      <c r="J24" s="906"/>
      <c r="K24" s="907"/>
      <c r="L24" s="959">
        <v>8.9499999999999993</v>
      </c>
      <c r="M24" s="960"/>
      <c r="N24" s="1010">
        <v>50</v>
      </c>
      <c r="O24" s="1011"/>
      <c r="P24" s="385"/>
      <c r="Q24" s="385"/>
      <c r="R24" s="930"/>
      <c r="S24" s="930"/>
      <c r="T24" s="925"/>
      <c r="U24" s="925"/>
      <c r="V24" s="925"/>
      <c r="W24" s="925"/>
      <c r="X24" s="910"/>
      <c r="Y24" s="910"/>
      <c r="Z24" s="910"/>
      <c r="AA24" s="910"/>
      <c r="AB24" s="384"/>
    </row>
    <row r="25" spans="1:28" s="386" customFormat="1" ht="16.899999999999999" customHeight="1" x14ac:dyDescent="0.2">
      <c r="A25" s="384"/>
      <c r="B25" s="384"/>
      <c r="C25" s="384"/>
      <c r="D25" s="933" t="s">
        <v>223</v>
      </c>
      <c r="E25" s="936"/>
      <c r="F25" s="935"/>
      <c r="G25" s="941"/>
      <c r="H25" s="941"/>
      <c r="I25" s="906" t="s">
        <v>628</v>
      </c>
      <c r="J25" s="906"/>
      <c r="K25" s="907"/>
      <c r="L25" s="959">
        <v>8.9499999999999993</v>
      </c>
      <c r="M25" s="960"/>
      <c r="N25" s="1010">
        <v>0</v>
      </c>
      <c r="O25" s="1011"/>
      <c r="P25" s="385"/>
      <c r="Q25" s="385"/>
      <c r="R25" s="930"/>
      <c r="S25" s="930"/>
      <c r="T25" s="925"/>
      <c r="U25" s="925"/>
      <c r="V25" s="925"/>
      <c r="W25" s="925"/>
      <c r="X25" s="910"/>
      <c r="Y25" s="910"/>
      <c r="Z25" s="910"/>
      <c r="AA25" s="910"/>
      <c r="AB25" s="384"/>
    </row>
    <row r="26" spans="1:28" s="386" customFormat="1" ht="16.899999999999999" customHeight="1" x14ac:dyDescent="0.2">
      <c r="A26" s="384"/>
      <c r="B26" s="384"/>
      <c r="C26" s="384"/>
      <c r="D26" s="933" t="s">
        <v>225</v>
      </c>
      <c r="E26" s="936"/>
      <c r="F26" s="935"/>
      <c r="G26" s="957"/>
      <c r="H26" s="957"/>
      <c r="I26" s="906" t="s">
        <v>629</v>
      </c>
      <c r="J26" s="906"/>
      <c r="K26" s="907"/>
      <c r="L26" s="959">
        <v>8.9499999999999993</v>
      </c>
      <c r="M26" s="960"/>
      <c r="N26" s="1010">
        <v>0</v>
      </c>
      <c r="O26" s="1011"/>
      <c r="P26" s="385"/>
      <c r="Q26" s="385"/>
      <c r="R26" s="930"/>
      <c r="S26" s="930"/>
      <c r="T26" s="925"/>
      <c r="U26" s="925"/>
      <c r="V26" s="925"/>
      <c r="W26" s="925"/>
      <c r="X26" s="910"/>
      <c r="Y26" s="910"/>
      <c r="Z26" s="910"/>
      <c r="AA26" s="910"/>
      <c r="AB26" s="384"/>
    </row>
    <row r="27" spans="1:28" s="386" customFormat="1" ht="16.899999999999999" customHeight="1" x14ac:dyDescent="0.2">
      <c r="A27" s="384"/>
      <c r="B27" s="384"/>
      <c r="C27" s="384"/>
      <c r="D27" s="933" t="s">
        <v>241</v>
      </c>
      <c r="E27" s="936"/>
      <c r="F27" s="935"/>
      <c r="G27" s="958"/>
      <c r="H27" s="940"/>
      <c r="I27" s="906" t="s">
        <v>630</v>
      </c>
      <c r="J27" s="906"/>
      <c r="K27" s="907"/>
      <c r="L27" s="959">
        <v>8.9499999999999993</v>
      </c>
      <c r="M27" s="960"/>
      <c r="N27" s="1012">
        <v>0</v>
      </c>
      <c r="O27" s="1013"/>
      <c r="P27" s="385"/>
      <c r="Q27" s="385"/>
      <c r="R27" s="387"/>
      <c r="S27" s="387"/>
      <c r="T27" s="925"/>
      <c r="U27" s="925"/>
      <c r="V27" s="925"/>
      <c r="W27" s="925"/>
      <c r="X27" s="910"/>
      <c r="Y27" s="910"/>
      <c r="Z27" s="910"/>
      <c r="AA27" s="910"/>
      <c r="AB27" s="384"/>
    </row>
    <row r="28" spans="1:28" s="386" customFormat="1" ht="16.899999999999999" customHeight="1" x14ac:dyDescent="0.2">
      <c r="A28" s="384"/>
      <c r="B28" s="384"/>
      <c r="C28" s="384"/>
      <c r="D28" s="933" t="s">
        <v>224</v>
      </c>
      <c r="E28" s="936"/>
      <c r="F28" s="935"/>
      <c r="G28" s="949"/>
      <c r="H28" s="949"/>
      <c r="I28" s="906" t="s">
        <v>885</v>
      </c>
      <c r="J28" s="906"/>
      <c r="K28" s="907"/>
      <c r="L28" s="959">
        <v>8.9499999999999993</v>
      </c>
      <c r="M28" s="960"/>
      <c r="N28" s="1010">
        <v>0</v>
      </c>
      <c r="O28" s="1011"/>
      <c r="P28" s="385"/>
      <c r="Q28" s="385"/>
      <c r="R28" s="961"/>
      <c r="S28" s="961"/>
      <c r="T28" s="925"/>
      <c r="U28" s="925"/>
      <c r="V28" s="925"/>
      <c r="W28" s="925"/>
      <c r="X28" s="925"/>
      <c r="Y28" s="925"/>
      <c r="Z28" s="925"/>
      <c r="AA28" s="925"/>
      <c r="AB28" s="384"/>
    </row>
    <row r="29" spans="1:28" s="386" customFormat="1" ht="16.899999999999999" customHeight="1" x14ac:dyDescent="0.2">
      <c r="A29" s="384"/>
      <c r="B29" s="384"/>
      <c r="C29" s="384"/>
      <c r="D29" s="933" t="s">
        <v>412</v>
      </c>
      <c r="E29" s="936"/>
      <c r="F29" s="935"/>
      <c r="G29" s="950"/>
      <c r="H29" s="950"/>
      <c r="I29" s="955" t="s">
        <v>886</v>
      </c>
      <c r="J29" s="955"/>
      <c r="K29" s="956"/>
      <c r="L29" s="959">
        <v>10.75</v>
      </c>
      <c r="M29" s="960"/>
      <c r="N29" s="1010">
        <v>10</v>
      </c>
      <c r="O29" s="1011"/>
      <c r="P29" s="385"/>
      <c r="Q29" s="385"/>
      <c r="R29" s="391"/>
      <c r="S29" s="391"/>
      <c r="T29" s="869"/>
      <c r="U29" s="869"/>
      <c r="V29" s="869"/>
      <c r="W29" s="869"/>
      <c r="X29" s="869"/>
      <c r="Y29" s="869"/>
      <c r="Z29" s="869"/>
      <c r="AA29" s="869"/>
      <c r="AB29" s="384"/>
    </row>
    <row r="30" spans="1:28" s="386" customFormat="1" ht="16.899999999999999" customHeight="1" thickBot="1" x14ac:dyDescent="0.25">
      <c r="A30" s="384"/>
      <c r="B30" s="384"/>
      <c r="C30" s="384"/>
      <c r="D30" s="952" t="s">
        <v>429</v>
      </c>
      <c r="E30" s="953"/>
      <c r="F30" s="954"/>
      <c r="G30" s="951"/>
      <c r="H30" s="940"/>
      <c r="I30" s="906" t="s">
        <v>887</v>
      </c>
      <c r="J30" s="906"/>
      <c r="K30" s="907"/>
      <c r="L30" s="1004">
        <v>14.5</v>
      </c>
      <c r="M30" s="1005"/>
      <c r="N30" s="1010">
        <v>0</v>
      </c>
      <c r="O30" s="1011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899999999999999" customHeight="1" x14ac:dyDescent="0.25">
      <c r="A31" s="219"/>
      <c r="B31" s="219"/>
      <c r="C31" s="219"/>
      <c r="D31" s="878"/>
      <c r="E31" s="879"/>
      <c r="F31" s="996">
        <f>K31*L22</f>
        <v>89.5</v>
      </c>
      <c r="G31" s="997"/>
      <c r="H31" s="997"/>
      <c r="I31" s="948" t="s">
        <v>507</v>
      </c>
      <c r="J31" s="948"/>
      <c r="K31" s="519">
        <v>10</v>
      </c>
      <c r="L31" s="945" t="s">
        <v>506</v>
      </c>
      <c r="M31" s="946"/>
      <c r="N31" s="946"/>
      <c r="O31" s="947"/>
      <c r="P31" s="234"/>
      <c r="Q31" s="234"/>
      <c r="R31" s="236"/>
      <c r="S31" s="236"/>
      <c r="T31" s="929"/>
      <c r="U31" s="929"/>
      <c r="V31" s="929"/>
      <c r="W31" s="929"/>
      <c r="X31" s="929"/>
      <c r="Y31" s="929"/>
      <c r="Z31" s="929"/>
      <c r="AA31" s="929"/>
      <c r="AB31" s="219"/>
    </row>
    <row r="32" spans="1:28" ht="27" customHeight="1" x14ac:dyDescent="0.2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">
      <c r="A33" s="375"/>
      <c r="B33" s="232"/>
      <c r="C33" s="232"/>
      <c r="D33" s="670" t="s">
        <v>295</v>
      </c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0"/>
      <c r="Z33" s="670"/>
      <c r="AA33" s="670"/>
      <c r="AB33" s="232"/>
    </row>
    <row r="34" spans="1:28" ht="27" customHeight="1" x14ac:dyDescent="0.2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 x14ac:dyDescent="0.2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4.25" x14ac:dyDescent="0.2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4.25" x14ac:dyDescent="0.2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4.25" x14ac:dyDescent="0.2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4.25" x14ac:dyDescent="0.2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2" t="s">
        <v>172</v>
      </c>
      <c r="E40" s="923"/>
      <c r="F40" s="923"/>
      <c r="G40" s="924"/>
      <c r="H40" s="253"/>
      <c r="I40" s="922" t="s">
        <v>173</v>
      </c>
      <c r="J40" s="923"/>
      <c r="K40" s="923"/>
      <c r="L40" s="924"/>
      <c r="M40" s="253"/>
      <c r="N40" s="922" t="s">
        <v>174</v>
      </c>
      <c r="O40" s="923"/>
      <c r="P40" s="923"/>
      <c r="Q40" s="924"/>
      <c r="R40" s="253"/>
      <c r="S40" s="922" t="s">
        <v>175</v>
      </c>
      <c r="T40" s="923"/>
      <c r="U40" s="923"/>
      <c r="V40" s="924"/>
      <c r="W40" s="253"/>
      <c r="X40" s="922" t="s">
        <v>176</v>
      </c>
      <c r="Y40" s="923"/>
      <c r="Z40" s="923"/>
      <c r="AA40" s="924"/>
      <c r="AB40" s="340"/>
    </row>
    <row r="41" spans="1:28" s="169" customFormat="1" ht="27" customHeight="1" x14ac:dyDescent="0.2">
      <c r="A41" s="226"/>
      <c r="B41" s="226"/>
      <c r="C41" s="226"/>
      <c r="D41" s="602" t="s">
        <v>294</v>
      </c>
      <c r="E41" s="603"/>
      <c r="F41" s="603"/>
      <c r="G41" s="606"/>
      <c r="H41" s="266"/>
      <c r="I41" s="602" t="s">
        <v>164</v>
      </c>
      <c r="J41" s="603"/>
      <c r="K41" s="603"/>
      <c r="L41" s="606"/>
      <c r="M41" s="266"/>
      <c r="N41" s="602" t="s">
        <v>170</v>
      </c>
      <c r="O41" s="603"/>
      <c r="P41" s="603"/>
      <c r="Q41" s="606"/>
      <c r="R41" s="266"/>
      <c r="S41" s="602" t="s">
        <v>169</v>
      </c>
      <c r="T41" s="603"/>
      <c r="U41" s="603"/>
      <c r="V41" s="606"/>
      <c r="W41" s="266"/>
      <c r="X41" s="602" t="s">
        <v>17</v>
      </c>
      <c r="Y41" s="603"/>
      <c r="Z41" s="603"/>
      <c r="AA41" s="606"/>
      <c r="AB41" s="341"/>
    </row>
    <row r="42" spans="1:28" ht="16.149999999999999" customHeight="1" x14ac:dyDescent="0.2">
      <c r="A42" s="219"/>
      <c r="B42" s="219"/>
      <c r="C42" s="219"/>
      <c r="D42" s="926">
        <v>24</v>
      </c>
      <c r="E42" s="927"/>
      <c r="F42" s="774">
        <v>30</v>
      </c>
      <c r="G42" s="775"/>
      <c r="H42" s="253"/>
      <c r="I42" s="926">
        <v>1.55</v>
      </c>
      <c r="J42" s="927"/>
      <c r="K42" s="908">
        <v>42</v>
      </c>
      <c r="L42" s="909"/>
      <c r="M42" s="253"/>
      <c r="N42" s="926">
        <v>1.9</v>
      </c>
      <c r="O42" s="927"/>
      <c r="P42" s="908">
        <v>4</v>
      </c>
      <c r="Q42" s="909"/>
      <c r="R42" s="253"/>
      <c r="S42" s="942">
        <v>1.7</v>
      </c>
      <c r="T42" s="943"/>
      <c r="U42" s="774">
        <v>42</v>
      </c>
      <c r="V42" s="775"/>
      <c r="W42" s="253"/>
      <c r="X42" s="942">
        <v>3</v>
      </c>
      <c r="Y42" s="943"/>
      <c r="Z42" s="774">
        <v>4</v>
      </c>
      <c r="AA42" s="775"/>
      <c r="AB42" s="342"/>
    </row>
    <row r="43" spans="1:28" s="386" customFormat="1" ht="16.149999999999999" customHeight="1" x14ac:dyDescent="0.2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5" customHeight="1" x14ac:dyDescent="0.2">
      <c r="A44" s="219"/>
      <c r="B44" s="219"/>
      <c r="C44" s="219"/>
      <c r="D44" s="612"/>
      <c r="E44" s="612"/>
      <c r="F44" s="612"/>
      <c r="G44" s="612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">
      <c r="A45" s="219"/>
      <c r="B45" s="219"/>
      <c r="C45" s="219"/>
      <c r="D45" s="308"/>
      <c r="E45" s="309"/>
      <c r="F45" s="309"/>
      <c r="G45" s="310"/>
      <c r="H45" s="253"/>
      <c r="I45" s="617"/>
      <c r="J45" s="618"/>
      <c r="K45" s="618"/>
      <c r="L45" s="619"/>
      <c r="M45" s="253"/>
      <c r="N45" s="617"/>
      <c r="O45" s="618"/>
      <c r="P45" s="618"/>
      <c r="Q45" s="619"/>
      <c r="R45" s="253"/>
      <c r="S45" s="912"/>
      <c r="T45" s="913"/>
      <c r="U45" s="913"/>
      <c r="V45" s="914"/>
      <c r="W45" s="253"/>
      <c r="X45" s="308"/>
      <c r="Y45" s="309"/>
      <c r="Z45" s="309"/>
      <c r="AA45" s="310"/>
      <c r="AB45" s="219"/>
    </row>
    <row r="46" spans="1:28" ht="14.25" x14ac:dyDescent="0.2">
      <c r="A46" s="219"/>
      <c r="B46" s="219"/>
      <c r="C46" s="219"/>
      <c r="D46" s="311"/>
      <c r="E46" s="312"/>
      <c r="F46" s="312"/>
      <c r="G46" s="313"/>
      <c r="H46" s="253"/>
      <c r="I46" s="632"/>
      <c r="J46" s="633"/>
      <c r="K46" s="633"/>
      <c r="L46" s="634"/>
      <c r="M46" s="253"/>
      <c r="N46" s="632"/>
      <c r="O46" s="633"/>
      <c r="P46" s="633"/>
      <c r="Q46" s="634"/>
      <c r="R46" s="253"/>
      <c r="S46" s="915"/>
      <c r="T46" s="916"/>
      <c r="U46" s="916"/>
      <c r="V46" s="917"/>
      <c r="W46" s="253"/>
      <c r="X46" s="311"/>
      <c r="Y46" s="312"/>
      <c r="Z46" s="312"/>
      <c r="AA46" s="313"/>
      <c r="AB46" s="219"/>
    </row>
    <row r="47" spans="1:28" ht="14.25" x14ac:dyDescent="0.2">
      <c r="A47" s="219"/>
      <c r="B47" s="219"/>
      <c r="C47" s="219"/>
      <c r="D47" s="311"/>
      <c r="E47" s="312"/>
      <c r="F47" s="312"/>
      <c r="G47" s="313"/>
      <c r="H47" s="253"/>
      <c r="I47" s="632"/>
      <c r="J47" s="633"/>
      <c r="K47" s="633"/>
      <c r="L47" s="634"/>
      <c r="M47" s="253"/>
      <c r="N47" s="632"/>
      <c r="O47" s="633"/>
      <c r="P47" s="633"/>
      <c r="Q47" s="634"/>
      <c r="R47" s="253"/>
      <c r="S47" s="915"/>
      <c r="T47" s="916"/>
      <c r="U47" s="916"/>
      <c r="V47" s="917"/>
      <c r="W47" s="253"/>
      <c r="X47" s="311"/>
      <c r="Y47" s="312"/>
      <c r="Z47" s="312"/>
      <c r="AA47" s="313"/>
      <c r="AB47" s="219"/>
    </row>
    <row r="48" spans="1:28" ht="14.25" x14ac:dyDescent="0.2">
      <c r="A48" s="219"/>
      <c r="B48" s="219"/>
      <c r="C48" s="219"/>
      <c r="D48" s="311"/>
      <c r="E48" s="312"/>
      <c r="F48" s="312"/>
      <c r="G48" s="313"/>
      <c r="H48" s="253"/>
      <c r="I48" s="632"/>
      <c r="J48" s="633"/>
      <c r="K48" s="633"/>
      <c r="L48" s="634"/>
      <c r="M48" s="253"/>
      <c r="N48" s="632"/>
      <c r="O48" s="633"/>
      <c r="P48" s="633"/>
      <c r="Q48" s="634"/>
      <c r="R48" s="253"/>
      <c r="S48" s="915"/>
      <c r="T48" s="916"/>
      <c r="U48" s="916"/>
      <c r="V48" s="917"/>
      <c r="W48" s="253"/>
      <c r="X48" s="311"/>
      <c r="Y48" s="312"/>
      <c r="Z48" s="312"/>
      <c r="AA48" s="313"/>
      <c r="AB48" s="219"/>
    </row>
    <row r="49" spans="1:28" ht="14.25" x14ac:dyDescent="0.2">
      <c r="A49" s="219"/>
      <c r="B49" s="219"/>
      <c r="C49" s="219"/>
      <c r="D49" s="315"/>
      <c r="E49" s="316"/>
      <c r="F49" s="316"/>
      <c r="G49" s="317"/>
      <c r="H49" s="253"/>
      <c r="I49" s="596"/>
      <c r="J49" s="597"/>
      <c r="K49" s="597"/>
      <c r="L49" s="598"/>
      <c r="M49" s="253"/>
      <c r="N49" s="596"/>
      <c r="O49" s="597"/>
      <c r="P49" s="597"/>
      <c r="Q49" s="598"/>
      <c r="R49" s="253"/>
      <c r="S49" s="918"/>
      <c r="T49" s="919"/>
      <c r="U49" s="919"/>
      <c r="V49" s="920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2" t="s">
        <v>177</v>
      </c>
      <c r="E50" s="923"/>
      <c r="F50" s="923"/>
      <c r="G50" s="924"/>
      <c r="H50" s="253"/>
      <c r="I50" s="922" t="s">
        <v>440</v>
      </c>
      <c r="J50" s="923"/>
      <c r="K50" s="923"/>
      <c r="L50" s="924"/>
      <c r="M50" s="253"/>
      <c r="N50" s="922" t="s">
        <v>178</v>
      </c>
      <c r="O50" s="923"/>
      <c r="P50" s="923"/>
      <c r="Q50" s="924"/>
      <c r="R50" s="253"/>
      <c r="S50" s="922" t="s">
        <v>441</v>
      </c>
      <c r="T50" s="923"/>
      <c r="U50" s="923"/>
      <c r="V50" s="924"/>
      <c r="W50" s="253"/>
      <c r="X50" s="922" t="s">
        <v>179</v>
      </c>
      <c r="Y50" s="923"/>
      <c r="Z50" s="923"/>
      <c r="AA50" s="924"/>
      <c r="AB50" s="340"/>
    </row>
    <row r="51" spans="1:28" s="169" customFormat="1" ht="27" customHeight="1" x14ac:dyDescent="0.2">
      <c r="A51" s="226"/>
      <c r="B51" s="226"/>
      <c r="C51" s="226"/>
      <c r="D51" s="602" t="s">
        <v>283</v>
      </c>
      <c r="E51" s="603"/>
      <c r="F51" s="603"/>
      <c r="G51" s="606"/>
      <c r="H51" s="266"/>
      <c r="I51" s="900" t="s">
        <v>631</v>
      </c>
      <c r="J51" s="901"/>
      <c r="K51" s="901"/>
      <c r="L51" s="902"/>
      <c r="M51" s="266"/>
      <c r="N51" s="900" t="s">
        <v>632</v>
      </c>
      <c r="O51" s="901"/>
      <c r="P51" s="901"/>
      <c r="Q51" s="902"/>
      <c r="R51" s="266"/>
      <c r="S51" s="900" t="s">
        <v>608</v>
      </c>
      <c r="T51" s="901"/>
      <c r="U51" s="901"/>
      <c r="V51" s="902"/>
      <c r="W51" s="266"/>
      <c r="X51" s="602" t="s">
        <v>609</v>
      </c>
      <c r="Y51" s="603"/>
      <c r="Z51" s="603"/>
      <c r="AA51" s="606"/>
      <c r="AB51" s="341"/>
    </row>
    <row r="52" spans="1:28" ht="16.149999999999999" customHeight="1" x14ac:dyDescent="0.2">
      <c r="A52" s="219"/>
      <c r="B52" s="219"/>
      <c r="C52" s="219"/>
      <c r="D52" s="926">
        <v>3</v>
      </c>
      <c r="E52" s="927"/>
      <c r="F52" s="908">
        <v>6</v>
      </c>
      <c r="G52" s="909"/>
      <c r="H52" s="253"/>
      <c r="I52" s="926">
        <v>3.5</v>
      </c>
      <c r="J52" s="927"/>
      <c r="K52" s="908">
        <v>0</v>
      </c>
      <c r="L52" s="909"/>
      <c r="M52" s="253"/>
      <c r="N52" s="926">
        <v>1.3</v>
      </c>
      <c r="O52" s="927"/>
      <c r="P52" s="908">
        <v>0</v>
      </c>
      <c r="Q52" s="909"/>
      <c r="R52" s="253"/>
      <c r="S52" s="926">
        <v>22</v>
      </c>
      <c r="T52" s="927"/>
      <c r="U52" s="908">
        <v>0</v>
      </c>
      <c r="V52" s="909"/>
      <c r="W52" s="253"/>
      <c r="X52" s="926">
        <v>22.5</v>
      </c>
      <c r="Y52" s="927"/>
      <c r="Z52" s="908">
        <v>4</v>
      </c>
      <c r="AA52" s="909"/>
      <c r="AB52" s="342"/>
    </row>
    <row r="53" spans="1:28" s="386" customFormat="1" ht="16.149999999999999" customHeight="1" x14ac:dyDescent="0.2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149999999999999" customHeight="1" x14ac:dyDescent="0.2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149999999999999" customHeight="1" x14ac:dyDescent="0.2">
      <c r="A55" s="384"/>
      <c r="B55" s="384"/>
      <c r="C55" s="384"/>
      <c r="D55" s="912"/>
      <c r="E55" s="913"/>
      <c r="F55" s="913"/>
      <c r="G55" s="914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149999999999999" customHeight="1" x14ac:dyDescent="0.2">
      <c r="A56" s="384"/>
      <c r="B56" s="384"/>
      <c r="C56" s="384"/>
      <c r="D56" s="915"/>
      <c r="E56" s="916"/>
      <c r="F56" s="916"/>
      <c r="G56" s="917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149999999999999" customHeight="1" x14ac:dyDescent="0.2">
      <c r="A57" s="384"/>
      <c r="B57" s="384"/>
      <c r="C57" s="384"/>
      <c r="D57" s="915"/>
      <c r="E57" s="916"/>
      <c r="F57" s="916"/>
      <c r="G57" s="917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149999999999999" customHeight="1" x14ac:dyDescent="0.2">
      <c r="A58" s="384"/>
      <c r="B58" s="384"/>
      <c r="C58" s="384"/>
      <c r="D58" s="915"/>
      <c r="E58" s="916"/>
      <c r="F58" s="916"/>
      <c r="G58" s="917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149999999999999" customHeight="1" x14ac:dyDescent="0.2">
      <c r="A59" s="384"/>
      <c r="B59" s="384"/>
      <c r="C59" s="384"/>
      <c r="D59" s="918"/>
      <c r="E59" s="919"/>
      <c r="F59" s="919"/>
      <c r="G59" s="920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149999999999999" customHeight="1" x14ac:dyDescent="0.25">
      <c r="A60" s="384"/>
      <c r="B60" s="384"/>
      <c r="C60" s="384"/>
      <c r="D60" s="922" t="s">
        <v>893</v>
      </c>
      <c r="E60" s="923"/>
      <c r="F60" s="923"/>
      <c r="G60" s="924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149999999999999" customHeight="1" x14ac:dyDescent="0.2">
      <c r="A61" s="384"/>
      <c r="B61" s="384"/>
      <c r="C61" s="384"/>
      <c r="D61" s="602" t="s">
        <v>902</v>
      </c>
      <c r="E61" s="603"/>
      <c r="F61" s="603"/>
      <c r="G61" s="606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149999999999999" customHeight="1" x14ac:dyDescent="0.2">
      <c r="A62" s="384"/>
      <c r="B62" s="384"/>
      <c r="C62" s="384"/>
      <c r="D62" s="926">
        <v>23</v>
      </c>
      <c r="E62" s="927"/>
      <c r="F62" s="908">
        <v>0</v>
      </c>
      <c r="G62" s="909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149999999999999" customHeight="1" x14ac:dyDescent="0.2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149999999999999" customHeight="1" x14ac:dyDescent="0.2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149999999999999" customHeight="1" x14ac:dyDescent="0.2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">
      <c r="A66" s="384"/>
      <c r="B66" s="384"/>
      <c r="C66" s="384"/>
      <c r="D66" s="670" t="s">
        <v>964</v>
      </c>
      <c r="E66" s="670"/>
      <c r="F66" s="670"/>
      <c r="G66" s="670"/>
      <c r="H66" s="670"/>
      <c r="I66" s="670"/>
      <c r="J66" s="670"/>
      <c r="K66" s="670"/>
      <c r="L66" s="670"/>
      <c r="M66" s="670"/>
      <c r="N66" s="670"/>
      <c r="O66" s="670"/>
      <c r="P66" s="670"/>
      <c r="Q66" s="670"/>
      <c r="R66" s="670"/>
      <c r="S66" s="670"/>
      <c r="T66" s="670"/>
      <c r="U66" s="670"/>
      <c r="V66" s="670"/>
      <c r="W66" s="670"/>
      <c r="X66" s="670"/>
      <c r="Y66" s="670"/>
      <c r="Z66" s="670"/>
      <c r="AA66" s="670"/>
      <c r="AB66" s="384"/>
    </row>
    <row r="67" spans="1:28" s="386" customFormat="1" ht="27" customHeight="1" x14ac:dyDescent="0.2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149999999999999" customHeight="1" x14ac:dyDescent="0.2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149999999999999" customHeight="1" x14ac:dyDescent="0.2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149999999999999" customHeight="1" x14ac:dyDescent="0.2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149999999999999" customHeight="1" x14ac:dyDescent="0.2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149999999999999" customHeight="1" x14ac:dyDescent="0.2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149999999999999" customHeight="1" x14ac:dyDescent="0.25">
      <c r="A73" s="384"/>
      <c r="B73" s="384"/>
      <c r="C73" s="384"/>
      <c r="D73" s="922" t="s">
        <v>965</v>
      </c>
      <c r="E73" s="923"/>
      <c r="F73" s="923"/>
      <c r="G73" s="924"/>
      <c r="H73" s="253"/>
      <c r="I73" s="922" t="s">
        <v>966</v>
      </c>
      <c r="J73" s="923"/>
      <c r="K73" s="923"/>
      <c r="L73" s="924"/>
      <c r="M73" s="253"/>
      <c r="N73" s="922" t="s">
        <v>967</v>
      </c>
      <c r="O73" s="923"/>
      <c r="P73" s="923"/>
      <c r="Q73" s="924"/>
      <c r="R73" s="253"/>
      <c r="S73" s="922" t="s">
        <v>968</v>
      </c>
      <c r="T73" s="923"/>
      <c r="U73" s="923"/>
      <c r="V73" s="924"/>
      <c r="W73" s="253"/>
      <c r="X73" s="944"/>
      <c r="Y73" s="944"/>
      <c r="Z73" s="944"/>
      <c r="AA73" s="944"/>
      <c r="AB73" s="384"/>
    </row>
    <row r="74" spans="1:28" s="386" customFormat="1" ht="16.149999999999999" customHeight="1" x14ac:dyDescent="0.2">
      <c r="A74" s="384"/>
      <c r="B74" s="384"/>
      <c r="C74" s="384"/>
      <c r="D74" s="602" t="s">
        <v>294</v>
      </c>
      <c r="E74" s="603"/>
      <c r="F74" s="603"/>
      <c r="G74" s="606"/>
      <c r="H74" s="266"/>
      <c r="I74" s="602" t="s">
        <v>164</v>
      </c>
      <c r="J74" s="603"/>
      <c r="K74" s="603"/>
      <c r="L74" s="606"/>
      <c r="M74" s="266"/>
      <c r="N74" s="602" t="s">
        <v>170</v>
      </c>
      <c r="O74" s="603"/>
      <c r="P74" s="603"/>
      <c r="Q74" s="606"/>
      <c r="R74" s="266"/>
      <c r="S74" s="602" t="s">
        <v>169</v>
      </c>
      <c r="T74" s="603"/>
      <c r="U74" s="603"/>
      <c r="V74" s="606"/>
      <c r="W74" s="266"/>
      <c r="X74" s="1031"/>
      <c r="Y74" s="1031"/>
      <c r="Z74" s="1031"/>
      <c r="AA74" s="1031"/>
      <c r="AB74" s="384"/>
    </row>
    <row r="75" spans="1:28" s="386" customFormat="1" ht="16.149999999999999" customHeight="1" x14ac:dyDescent="0.2">
      <c r="A75" s="384"/>
      <c r="B75" s="384"/>
      <c r="C75" s="384"/>
      <c r="D75" s="926">
        <v>45</v>
      </c>
      <c r="E75" s="927"/>
      <c r="F75" s="774">
        <v>0</v>
      </c>
      <c r="G75" s="775"/>
      <c r="H75" s="253"/>
      <c r="I75" s="926">
        <v>4</v>
      </c>
      <c r="J75" s="927"/>
      <c r="K75" s="908">
        <v>0</v>
      </c>
      <c r="L75" s="909"/>
      <c r="M75" s="253"/>
      <c r="N75" s="926">
        <v>4.2</v>
      </c>
      <c r="O75" s="927"/>
      <c r="P75" s="908">
        <v>0</v>
      </c>
      <c r="Q75" s="909"/>
      <c r="R75" s="253"/>
      <c r="S75" s="942">
        <v>3.5</v>
      </c>
      <c r="T75" s="943"/>
      <c r="U75" s="774">
        <v>0</v>
      </c>
      <c r="V75" s="775"/>
      <c r="W75" s="253"/>
      <c r="X75" s="1032"/>
      <c r="Y75" s="1032"/>
      <c r="Z75" s="1033"/>
      <c r="AA75" s="1033"/>
      <c r="AB75" s="384"/>
    </row>
    <row r="76" spans="1:28" s="386" customFormat="1" ht="16.149999999999999" customHeight="1" x14ac:dyDescent="0.2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">
      <c r="A78" s="339"/>
      <c r="B78" s="232"/>
      <c r="C78" s="232"/>
      <c r="D78" s="670" t="s">
        <v>591</v>
      </c>
      <c r="E78" s="670"/>
      <c r="F78" s="670"/>
      <c r="G78" s="670"/>
      <c r="H78" s="670"/>
      <c r="I78" s="670"/>
      <c r="J78" s="670"/>
      <c r="K78" s="670"/>
      <c r="L78" s="670"/>
      <c r="M78" s="670"/>
      <c r="N78" s="670"/>
      <c r="O78" s="670"/>
      <c r="P78" s="670"/>
      <c r="Q78" s="670"/>
      <c r="R78" s="670"/>
      <c r="S78" s="670"/>
      <c r="T78" s="670"/>
      <c r="U78" s="670"/>
      <c r="V78" s="670"/>
      <c r="W78" s="670"/>
      <c r="X78" s="670"/>
      <c r="Y78" s="670"/>
      <c r="Z78" s="670"/>
      <c r="AA78" s="670"/>
      <c r="AB78" s="232"/>
    </row>
    <row r="79" spans="1:28" s="170" customFormat="1" ht="27" customHeight="1" x14ac:dyDescent="0.3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4.25" x14ac:dyDescent="0.2">
      <c r="A80" s="219"/>
      <c r="B80" s="219"/>
      <c r="C80" s="219"/>
      <c r="D80" s="617"/>
      <c r="E80" s="618"/>
      <c r="F80" s="618"/>
      <c r="G80" s="619"/>
      <c r="H80" s="253"/>
      <c r="I80" s="617"/>
      <c r="J80" s="618"/>
      <c r="K80" s="618"/>
      <c r="L80" s="619"/>
      <c r="M80" s="253"/>
      <c r="N80" s="617"/>
      <c r="O80" s="618"/>
      <c r="P80" s="618"/>
      <c r="Q80" s="619"/>
      <c r="R80" s="253"/>
      <c r="S80" s="617"/>
      <c r="T80" s="618"/>
      <c r="U80" s="618"/>
      <c r="V80" s="619"/>
      <c r="W80" s="253"/>
      <c r="X80" s="617"/>
      <c r="Y80" s="618"/>
      <c r="Z80" s="618"/>
      <c r="AA80" s="619"/>
      <c r="AB80" s="219"/>
    </row>
    <row r="81" spans="1:28" ht="12" customHeight="1" x14ac:dyDescent="0.2">
      <c r="A81" s="219"/>
      <c r="B81" s="219"/>
      <c r="C81" s="219"/>
      <c r="D81" s="632"/>
      <c r="E81" s="633"/>
      <c r="F81" s="633"/>
      <c r="G81" s="634"/>
      <c r="H81" s="253"/>
      <c r="I81" s="632"/>
      <c r="J81" s="633"/>
      <c r="K81" s="633"/>
      <c r="L81" s="634"/>
      <c r="M81" s="253"/>
      <c r="N81" s="632"/>
      <c r="O81" s="633"/>
      <c r="P81" s="633"/>
      <c r="Q81" s="634"/>
      <c r="R81" s="253"/>
      <c r="S81" s="632"/>
      <c r="T81" s="633"/>
      <c r="U81" s="633"/>
      <c r="V81" s="634"/>
      <c r="W81" s="253"/>
      <c r="X81" s="632"/>
      <c r="Y81" s="633"/>
      <c r="Z81" s="633"/>
      <c r="AA81" s="634"/>
      <c r="AB81" s="219"/>
    </row>
    <row r="82" spans="1:28" ht="13.5" customHeight="1" x14ac:dyDescent="0.2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">
      <c r="A83" s="219"/>
      <c r="B83" s="219"/>
      <c r="C83" s="219"/>
      <c r="D83" s="632"/>
      <c r="E83" s="633"/>
      <c r="F83" s="633"/>
      <c r="G83" s="634"/>
      <c r="H83" s="253"/>
      <c r="I83" s="632"/>
      <c r="J83" s="633"/>
      <c r="K83" s="633"/>
      <c r="L83" s="634"/>
      <c r="M83" s="253"/>
      <c r="N83" s="632"/>
      <c r="O83" s="633"/>
      <c r="P83" s="633"/>
      <c r="Q83" s="634"/>
      <c r="R83" s="253"/>
      <c r="S83" s="632"/>
      <c r="T83" s="633"/>
      <c r="U83" s="633"/>
      <c r="V83" s="634"/>
      <c r="W83" s="253"/>
      <c r="X83" s="632"/>
      <c r="Y83" s="633"/>
      <c r="Z83" s="633"/>
      <c r="AA83" s="634"/>
      <c r="AB83" s="219"/>
    </row>
    <row r="84" spans="1:28" ht="13.5" customHeight="1" x14ac:dyDescent="0.2">
      <c r="A84" s="219"/>
      <c r="B84" s="219"/>
      <c r="C84" s="219"/>
      <c r="D84" s="632"/>
      <c r="E84" s="633"/>
      <c r="F84" s="633"/>
      <c r="G84" s="634"/>
      <c r="H84" s="253"/>
      <c r="I84" s="632"/>
      <c r="J84" s="633"/>
      <c r="K84" s="633"/>
      <c r="L84" s="634"/>
      <c r="M84" s="253"/>
      <c r="N84" s="632"/>
      <c r="O84" s="633"/>
      <c r="P84" s="633"/>
      <c r="Q84" s="634"/>
      <c r="R84" s="253"/>
      <c r="S84" s="632"/>
      <c r="T84" s="633"/>
      <c r="U84" s="633"/>
      <c r="V84" s="634"/>
      <c r="W84" s="253"/>
      <c r="X84" s="632"/>
      <c r="Y84" s="633"/>
      <c r="Z84" s="633"/>
      <c r="AA84" s="634"/>
      <c r="AB84" s="219"/>
    </row>
    <row r="85" spans="1:28" ht="13.5" customHeight="1" x14ac:dyDescent="0.2">
      <c r="A85" s="219"/>
      <c r="B85" s="219"/>
      <c r="C85" s="219"/>
      <c r="D85" s="769"/>
      <c r="E85" s="770"/>
      <c r="F85" s="770"/>
      <c r="G85" s="771"/>
      <c r="H85" s="253"/>
      <c r="I85" s="769"/>
      <c r="J85" s="770"/>
      <c r="K85" s="770"/>
      <c r="L85" s="771"/>
      <c r="M85" s="253"/>
      <c r="N85" s="769"/>
      <c r="O85" s="770"/>
      <c r="P85" s="770"/>
      <c r="Q85" s="771"/>
      <c r="R85" s="253"/>
      <c r="S85" s="632"/>
      <c r="T85" s="633"/>
      <c r="U85" s="633"/>
      <c r="V85" s="634"/>
      <c r="W85" s="253"/>
      <c r="X85" s="632"/>
      <c r="Y85" s="633"/>
      <c r="Z85" s="633"/>
      <c r="AA85" s="634"/>
      <c r="AB85" s="219"/>
    </row>
    <row r="86" spans="1:28" ht="13.5" customHeight="1" x14ac:dyDescent="0.25">
      <c r="A86" s="219"/>
      <c r="B86" s="219"/>
      <c r="C86" s="219"/>
      <c r="D86" s="822" t="s">
        <v>260</v>
      </c>
      <c r="E86" s="823"/>
      <c r="F86" s="824"/>
      <c r="G86" s="825"/>
      <c r="H86" s="253"/>
      <c r="I86" s="822" t="s">
        <v>261</v>
      </c>
      <c r="J86" s="823"/>
      <c r="K86" s="824"/>
      <c r="L86" s="825"/>
      <c r="M86" s="253"/>
      <c r="N86" s="822" t="s">
        <v>262</v>
      </c>
      <c r="O86" s="823"/>
      <c r="P86" s="824"/>
      <c r="Q86" s="825"/>
      <c r="R86" s="253"/>
      <c r="S86" s="822" t="s">
        <v>263</v>
      </c>
      <c r="T86" s="823"/>
      <c r="U86" s="824"/>
      <c r="V86" s="825"/>
      <c r="W86" s="253"/>
      <c r="X86" s="822" t="s">
        <v>264</v>
      </c>
      <c r="Y86" s="823"/>
      <c r="Z86" s="824"/>
      <c r="AA86" s="825"/>
      <c r="AB86" s="219"/>
    </row>
    <row r="87" spans="1:28" ht="16.149999999999999" customHeight="1" thickBot="1" x14ac:dyDescent="0.3">
      <c r="A87" s="219"/>
      <c r="B87" s="221"/>
      <c r="C87" s="221"/>
      <c r="D87" s="755">
        <v>0.55000000000000004</v>
      </c>
      <c r="E87" s="756"/>
      <c r="F87" s="637">
        <v>180</v>
      </c>
      <c r="G87" s="638"/>
      <c r="H87" s="253"/>
      <c r="I87" s="755">
        <v>0.9</v>
      </c>
      <c r="J87" s="756"/>
      <c r="K87" s="637">
        <v>20</v>
      </c>
      <c r="L87" s="638"/>
      <c r="M87" s="253"/>
      <c r="N87" s="755">
        <v>0.95</v>
      </c>
      <c r="O87" s="756"/>
      <c r="P87" s="637">
        <v>16</v>
      </c>
      <c r="Q87" s="638"/>
      <c r="R87" s="253"/>
      <c r="S87" s="755">
        <v>0.85</v>
      </c>
      <c r="T87" s="756"/>
      <c r="U87" s="637">
        <v>34</v>
      </c>
      <c r="V87" s="638"/>
      <c r="W87" s="253"/>
      <c r="X87" s="755">
        <v>0.55000000000000004</v>
      </c>
      <c r="Y87" s="756"/>
      <c r="Z87" s="637">
        <v>0</v>
      </c>
      <c r="AA87" s="638"/>
      <c r="AB87" s="221"/>
    </row>
    <row r="88" spans="1:28" s="386" customFormat="1" ht="16.149999999999999" customHeight="1" x14ac:dyDescent="0.2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5" customHeight="1" x14ac:dyDescent="0.2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5" x14ac:dyDescent="0.2">
      <c r="A90" s="376"/>
      <c r="B90" s="219"/>
      <c r="C90" s="219"/>
      <c r="D90" s="617"/>
      <c r="E90" s="618"/>
      <c r="F90" s="618"/>
      <c r="G90" s="619"/>
      <c r="H90" s="253"/>
      <c r="I90" s="617"/>
      <c r="J90" s="618"/>
      <c r="K90" s="618"/>
      <c r="L90" s="619"/>
      <c r="M90" s="253"/>
      <c r="N90" s="617"/>
      <c r="O90" s="618"/>
      <c r="P90" s="618"/>
      <c r="Q90" s="619"/>
      <c r="R90" s="253"/>
      <c r="S90" s="617"/>
      <c r="T90" s="618"/>
      <c r="U90" s="618"/>
      <c r="V90" s="619"/>
      <c r="W90" s="253"/>
      <c r="X90" s="617"/>
      <c r="Y90" s="618"/>
      <c r="Z90" s="618"/>
      <c r="AA90" s="619"/>
      <c r="AB90" s="219"/>
    </row>
    <row r="91" spans="1:28" ht="13.5" customHeight="1" x14ac:dyDescent="0.2">
      <c r="A91" s="219"/>
      <c r="B91" s="219"/>
      <c r="C91" s="219"/>
      <c r="D91" s="632"/>
      <c r="E91" s="633"/>
      <c r="F91" s="633"/>
      <c r="G91" s="634"/>
      <c r="H91" s="253"/>
      <c r="I91" s="632"/>
      <c r="J91" s="633"/>
      <c r="K91" s="633"/>
      <c r="L91" s="634"/>
      <c r="M91" s="253"/>
      <c r="N91" s="632"/>
      <c r="O91" s="633"/>
      <c r="P91" s="633"/>
      <c r="Q91" s="634"/>
      <c r="R91" s="253"/>
      <c r="S91" s="632"/>
      <c r="T91" s="633"/>
      <c r="U91" s="633"/>
      <c r="V91" s="634"/>
      <c r="W91" s="253"/>
      <c r="X91" s="632"/>
      <c r="Y91" s="633"/>
      <c r="Z91" s="633"/>
      <c r="AA91" s="634"/>
      <c r="AB91" s="219"/>
    </row>
    <row r="92" spans="1:28" ht="14.25" x14ac:dyDescent="0.2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4.25" x14ac:dyDescent="0.2">
      <c r="A93" s="219"/>
      <c r="B93" s="219"/>
      <c r="C93" s="219"/>
      <c r="D93" s="632"/>
      <c r="E93" s="633"/>
      <c r="F93" s="633"/>
      <c r="G93" s="634"/>
      <c r="H93" s="253"/>
      <c r="I93" s="632"/>
      <c r="J93" s="633"/>
      <c r="K93" s="633"/>
      <c r="L93" s="634"/>
      <c r="M93" s="253"/>
      <c r="N93" s="632"/>
      <c r="O93" s="633"/>
      <c r="P93" s="633"/>
      <c r="Q93" s="634"/>
      <c r="R93" s="253"/>
      <c r="S93" s="632"/>
      <c r="T93" s="633"/>
      <c r="U93" s="633"/>
      <c r="V93" s="634"/>
      <c r="W93" s="253"/>
      <c r="X93" s="632"/>
      <c r="Y93" s="633"/>
      <c r="Z93" s="633"/>
      <c r="AA93" s="634"/>
      <c r="AB93" s="219"/>
    </row>
    <row r="94" spans="1:28" ht="14.25" x14ac:dyDescent="0.2">
      <c r="A94" s="219"/>
      <c r="B94" s="219"/>
      <c r="C94" s="219"/>
      <c r="D94" s="632"/>
      <c r="E94" s="633"/>
      <c r="F94" s="633"/>
      <c r="G94" s="634"/>
      <c r="H94" s="253"/>
      <c r="I94" s="632"/>
      <c r="J94" s="633"/>
      <c r="K94" s="633"/>
      <c r="L94" s="634"/>
      <c r="M94" s="253"/>
      <c r="N94" s="632"/>
      <c r="O94" s="633"/>
      <c r="P94" s="633"/>
      <c r="Q94" s="634"/>
      <c r="R94" s="253"/>
      <c r="S94" s="632"/>
      <c r="T94" s="633"/>
      <c r="U94" s="633"/>
      <c r="V94" s="634"/>
      <c r="W94" s="253"/>
      <c r="X94" s="632"/>
      <c r="Y94" s="633"/>
      <c r="Z94" s="633"/>
      <c r="AA94" s="634"/>
      <c r="AB94" s="219"/>
    </row>
    <row r="95" spans="1:28" ht="14.25" x14ac:dyDescent="0.2">
      <c r="A95" s="219"/>
      <c r="B95" s="219"/>
      <c r="C95" s="219"/>
      <c r="D95" s="632"/>
      <c r="E95" s="633"/>
      <c r="F95" s="633"/>
      <c r="G95" s="634"/>
      <c r="H95" s="253"/>
      <c r="I95" s="632"/>
      <c r="J95" s="633"/>
      <c r="K95" s="633"/>
      <c r="L95" s="634"/>
      <c r="M95" s="253"/>
      <c r="N95" s="632"/>
      <c r="O95" s="633"/>
      <c r="P95" s="633"/>
      <c r="Q95" s="634"/>
      <c r="R95" s="253"/>
      <c r="S95" s="632"/>
      <c r="T95" s="633"/>
      <c r="U95" s="633"/>
      <c r="V95" s="634"/>
      <c r="W95" s="253"/>
      <c r="X95" s="632"/>
      <c r="Y95" s="633"/>
      <c r="Z95" s="633"/>
      <c r="AA95" s="634"/>
      <c r="AB95" s="219"/>
    </row>
    <row r="96" spans="1:28" ht="15" x14ac:dyDescent="0.25">
      <c r="A96" s="219"/>
      <c r="B96" s="219"/>
      <c r="C96" s="219"/>
      <c r="D96" s="822" t="s">
        <v>265</v>
      </c>
      <c r="E96" s="823"/>
      <c r="F96" s="824"/>
      <c r="G96" s="825"/>
      <c r="H96" s="253"/>
      <c r="I96" s="748" t="s">
        <v>266</v>
      </c>
      <c r="J96" s="749"/>
      <c r="K96" s="750"/>
      <c r="L96" s="751"/>
      <c r="M96" s="253"/>
      <c r="N96" s="870" t="s">
        <v>267</v>
      </c>
      <c r="O96" s="871"/>
      <c r="P96" s="872"/>
      <c r="Q96" s="873"/>
      <c r="R96" s="253"/>
      <c r="S96" s="870" t="s">
        <v>268</v>
      </c>
      <c r="T96" s="871"/>
      <c r="U96" s="872"/>
      <c r="V96" s="873"/>
      <c r="W96" s="253"/>
      <c r="X96" s="822" t="s">
        <v>269</v>
      </c>
      <c r="Y96" s="823"/>
      <c r="Z96" s="824"/>
      <c r="AA96" s="825"/>
      <c r="AB96" s="219"/>
    </row>
    <row r="97" spans="1:28" ht="16.149999999999999" customHeight="1" thickBot="1" x14ac:dyDescent="0.25">
      <c r="A97" s="219"/>
      <c r="B97" s="219"/>
      <c r="C97" s="219"/>
      <c r="D97" s="755">
        <v>0.55000000000000004</v>
      </c>
      <c r="E97" s="756"/>
      <c r="F97" s="637">
        <v>0</v>
      </c>
      <c r="G97" s="638"/>
      <c r="H97" s="253"/>
      <c r="I97" s="755">
        <v>1.25</v>
      </c>
      <c r="J97" s="756"/>
      <c r="K97" s="637">
        <v>0</v>
      </c>
      <c r="L97" s="638"/>
      <c r="M97" s="253"/>
      <c r="N97" s="755">
        <v>0.55000000000000004</v>
      </c>
      <c r="O97" s="756"/>
      <c r="P97" s="637">
        <v>16</v>
      </c>
      <c r="Q97" s="638"/>
      <c r="R97" s="253"/>
      <c r="S97" s="755">
        <v>0.7</v>
      </c>
      <c r="T97" s="756"/>
      <c r="U97" s="637">
        <v>0</v>
      </c>
      <c r="V97" s="638"/>
      <c r="W97" s="253"/>
      <c r="X97" s="755">
        <v>0.95</v>
      </c>
      <c r="Y97" s="756"/>
      <c r="Z97" s="637">
        <v>0</v>
      </c>
      <c r="AA97" s="638"/>
      <c r="AB97" s="219"/>
    </row>
    <row r="98" spans="1:28" s="386" customFormat="1" ht="16.149999999999999" customHeight="1" x14ac:dyDescent="0.2">
      <c r="A98" s="384"/>
      <c r="B98" s="456"/>
      <c r="C98" s="456"/>
      <c r="D98" s="488">
        <f>D97*G98</f>
        <v>123.75000000000001</v>
      </c>
      <c r="E98" s="905" t="s">
        <v>293</v>
      </c>
      <c r="F98" s="905"/>
      <c r="G98" s="448">
        <v>225</v>
      </c>
      <c r="H98" s="449"/>
      <c r="I98" s="488">
        <f>I97*L98</f>
        <v>225</v>
      </c>
      <c r="J98" s="905" t="s">
        <v>293</v>
      </c>
      <c r="K98" s="905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5" customHeight="1" x14ac:dyDescent="0.2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4.25" x14ac:dyDescent="0.2">
      <c r="A100" s="246"/>
      <c r="B100" s="219"/>
      <c r="C100" s="219"/>
      <c r="D100" s="617"/>
      <c r="E100" s="618"/>
      <c r="F100" s="618"/>
      <c r="G100" s="619"/>
      <c r="H100" s="307"/>
      <c r="I100" s="617"/>
      <c r="J100" s="618"/>
      <c r="K100" s="618"/>
      <c r="L100" s="619"/>
      <c r="M100" s="253"/>
      <c r="N100" s="617"/>
      <c r="O100" s="618"/>
      <c r="P100" s="618"/>
      <c r="Q100" s="619"/>
      <c r="R100" s="307"/>
      <c r="S100" s="617"/>
      <c r="T100" s="618"/>
      <c r="U100" s="618"/>
      <c r="V100" s="619"/>
      <c r="W100" s="253"/>
      <c r="X100" s="617"/>
      <c r="Y100" s="618"/>
      <c r="Z100" s="618"/>
      <c r="AA100" s="619"/>
      <c r="AB100" s="219"/>
    </row>
    <row r="101" spans="1:28" s="171" customFormat="1" ht="15" x14ac:dyDescent="0.2">
      <c r="A101" s="376"/>
      <c r="B101" s="219"/>
      <c r="C101" s="219"/>
      <c r="D101" s="632"/>
      <c r="E101" s="633"/>
      <c r="F101" s="633"/>
      <c r="G101" s="634"/>
      <c r="H101" s="307"/>
      <c r="I101" s="632"/>
      <c r="J101" s="633"/>
      <c r="K101" s="633"/>
      <c r="L101" s="634"/>
      <c r="M101" s="253"/>
      <c r="N101" s="632"/>
      <c r="O101" s="633"/>
      <c r="P101" s="633"/>
      <c r="Q101" s="634"/>
      <c r="R101" s="307"/>
      <c r="S101" s="632"/>
      <c r="T101" s="633"/>
      <c r="U101" s="633"/>
      <c r="V101" s="634"/>
      <c r="W101" s="253"/>
      <c r="X101" s="632"/>
      <c r="Y101" s="633"/>
      <c r="Z101" s="633"/>
      <c r="AA101" s="634"/>
      <c r="AB101" s="219"/>
    </row>
    <row r="102" spans="1:28" ht="13.5" customHeight="1" x14ac:dyDescent="0.2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4.25" x14ac:dyDescent="0.2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4.25" x14ac:dyDescent="0.2">
      <c r="A104" s="219"/>
      <c r="B104" s="219"/>
      <c r="C104" s="219"/>
      <c r="D104" s="632"/>
      <c r="E104" s="633"/>
      <c r="F104" s="633"/>
      <c r="G104" s="634"/>
      <c r="H104" s="307"/>
      <c r="I104" s="632"/>
      <c r="J104" s="633"/>
      <c r="K104" s="633"/>
      <c r="L104" s="634"/>
      <c r="M104" s="253"/>
      <c r="N104" s="632"/>
      <c r="O104" s="633"/>
      <c r="P104" s="633"/>
      <c r="Q104" s="634"/>
      <c r="R104" s="307"/>
      <c r="S104" s="632"/>
      <c r="T104" s="633"/>
      <c r="U104" s="633"/>
      <c r="V104" s="634"/>
      <c r="W104" s="253"/>
      <c r="X104" s="632"/>
      <c r="Y104" s="633"/>
      <c r="Z104" s="633"/>
      <c r="AA104" s="634"/>
      <c r="AB104" s="219"/>
    </row>
    <row r="105" spans="1:28" ht="14.25" x14ac:dyDescent="0.2">
      <c r="A105" s="219"/>
      <c r="B105" s="219"/>
      <c r="C105" s="219"/>
      <c r="D105" s="769"/>
      <c r="E105" s="770"/>
      <c r="F105" s="770"/>
      <c r="G105" s="771"/>
      <c r="H105" s="307"/>
      <c r="I105" s="632"/>
      <c r="J105" s="633"/>
      <c r="K105" s="633"/>
      <c r="L105" s="634"/>
      <c r="M105" s="253"/>
      <c r="N105" s="769"/>
      <c r="O105" s="770"/>
      <c r="P105" s="770"/>
      <c r="Q105" s="771"/>
      <c r="R105" s="307"/>
      <c r="S105" s="632"/>
      <c r="T105" s="633"/>
      <c r="U105" s="633"/>
      <c r="V105" s="634"/>
      <c r="W105" s="253"/>
      <c r="X105" s="632"/>
      <c r="Y105" s="633"/>
      <c r="Z105" s="633"/>
      <c r="AA105" s="634"/>
      <c r="AB105" s="219"/>
    </row>
    <row r="106" spans="1:28" ht="15" x14ac:dyDescent="0.25">
      <c r="A106" s="219"/>
      <c r="B106" s="227"/>
      <c r="C106" s="227"/>
      <c r="D106" s="874" t="s">
        <v>270</v>
      </c>
      <c r="E106" s="875"/>
      <c r="F106" s="876"/>
      <c r="G106" s="877"/>
      <c r="H106" s="253"/>
      <c r="I106" s="748" t="s">
        <v>271</v>
      </c>
      <c r="J106" s="776"/>
      <c r="K106" s="777"/>
      <c r="L106" s="778"/>
      <c r="M106" s="253"/>
      <c r="N106" s="822" t="s">
        <v>272</v>
      </c>
      <c r="O106" s="823"/>
      <c r="P106" s="824"/>
      <c r="Q106" s="825"/>
      <c r="R106" s="253"/>
      <c r="S106" s="822" t="s">
        <v>273</v>
      </c>
      <c r="T106" s="823"/>
      <c r="U106" s="824"/>
      <c r="V106" s="825"/>
      <c r="W106" s="253"/>
      <c r="X106" s="822" t="s">
        <v>274</v>
      </c>
      <c r="Y106" s="823"/>
      <c r="Z106" s="824"/>
      <c r="AA106" s="825"/>
      <c r="AB106" s="219"/>
    </row>
    <row r="107" spans="1:28" ht="16.149999999999999" customHeight="1" thickBot="1" x14ac:dyDescent="0.25">
      <c r="A107" s="219"/>
      <c r="B107" s="219"/>
      <c r="C107" s="219"/>
      <c r="D107" s="755">
        <v>0.95</v>
      </c>
      <c r="E107" s="756"/>
      <c r="F107" s="637">
        <v>0</v>
      </c>
      <c r="G107" s="638"/>
      <c r="H107" s="253"/>
      <c r="I107" s="755">
        <v>0.85</v>
      </c>
      <c r="J107" s="756"/>
      <c r="K107" s="637">
        <v>0</v>
      </c>
      <c r="L107" s="638"/>
      <c r="M107" s="253"/>
      <c r="N107" s="755">
        <v>0.59</v>
      </c>
      <c r="O107" s="756"/>
      <c r="P107" s="637">
        <v>32</v>
      </c>
      <c r="Q107" s="638"/>
      <c r="R107" s="253"/>
      <c r="S107" s="755">
        <v>0.8</v>
      </c>
      <c r="T107" s="756"/>
      <c r="U107" s="637">
        <v>0</v>
      </c>
      <c r="V107" s="638"/>
      <c r="W107" s="253"/>
      <c r="X107" s="755">
        <v>0.8</v>
      </c>
      <c r="Y107" s="756"/>
      <c r="Z107" s="637">
        <v>0</v>
      </c>
      <c r="AA107" s="638"/>
      <c r="AB107" s="219"/>
    </row>
    <row r="108" spans="1:28" s="386" customFormat="1" ht="16.149999999999999" customHeight="1" x14ac:dyDescent="0.2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5" customHeight="1" x14ac:dyDescent="0.2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4.25" x14ac:dyDescent="0.2">
      <c r="A110" s="226"/>
      <c r="B110" s="219"/>
      <c r="C110" s="219"/>
      <c r="D110" s="617"/>
      <c r="E110" s="618"/>
      <c r="F110" s="618"/>
      <c r="G110" s="619"/>
      <c r="H110" s="253"/>
      <c r="I110" s="617"/>
      <c r="J110" s="618"/>
      <c r="K110" s="618"/>
      <c r="L110" s="619"/>
      <c r="M110" s="253"/>
      <c r="N110" s="617"/>
      <c r="O110" s="618"/>
      <c r="P110" s="618"/>
      <c r="Q110" s="619"/>
      <c r="R110" s="253"/>
      <c r="S110" s="617"/>
      <c r="T110" s="618"/>
      <c r="U110" s="618"/>
      <c r="V110" s="619"/>
      <c r="W110" s="253"/>
      <c r="X110" s="617"/>
      <c r="Y110" s="618"/>
      <c r="Z110" s="618"/>
      <c r="AA110" s="619"/>
      <c r="AB110" s="219"/>
    </row>
    <row r="111" spans="1:28" s="171" customFormat="1" ht="15" x14ac:dyDescent="0.2">
      <c r="A111" s="376"/>
      <c r="B111" s="219"/>
      <c r="C111" s="219"/>
      <c r="D111" s="632"/>
      <c r="E111" s="633"/>
      <c r="F111" s="633"/>
      <c r="G111" s="634"/>
      <c r="H111" s="253"/>
      <c r="I111" s="632"/>
      <c r="J111" s="633"/>
      <c r="K111" s="633"/>
      <c r="L111" s="634"/>
      <c r="M111" s="253"/>
      <c r="N111" s="632"/>
      <c r="O111" s="633"/>
      <c r="P111" s="633"/>
      <c r="Q111" s="634"/>
      <c r="R111" s="253"/>
      <c r="S111" s="632"/>
      <c r="T111" s="633"/>
      <c r="U111" s="633"/>
      <c r="V111" s="634"/>
      <c r="W111" s="253"/>
      <c r="X111" s="632"/>
      <c r="Y111" s="633"/>
      <c r="Z111" s="633"/>
      <c r="AA111" s="634"/>
      <c r="AB111" s="219"/>
    </row>
    <row r="112" spans="1:28" ht="14.25" x14ac:dyDescent="0.2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4.25" x14ac:dyDescent="0.2">
      <c r="A113" s="219"/>
      <c r="B113" s="219"/>
      <c r="C113" s="219"/>
      <c r="D113" s="632"/>
      <c r="E113" s="633"/>
      <c r="F113" s="633"/>
      <c r="G113" s="634"/>
      <c r="H113" s="253"/>
      <c r="I113" s="632"/>
      <c r="J113" s="633"/>
      <c r="K113" s="633"/>
      <c r="L113" s="634"/>
      <c r="M113" s="253"/>
      <c r="N113" s="632"/>
      <c r="O113" s="633"/>
      <c r="P113" s="633"/>
      <c r="Q113" s="634"/>
      <c r="R113" s="253"/>
      <c r="S113" s="632"/>
      <c r="T113" s="633"/>
      <c r="U113" s="633"/>
      <c r="V113" s="634"/>
      <c r="W113" s="253"/>
      <c r="X113" s="632"/>
      <c r="Y113" s="633"/>
      <c r="Z113" s="633"/>
      <c r="AA113" s="634"/>
      <c r="AB113" s="219"/>
    </row>
    <row r="114" spans="1:28" ht="14.25" x14ac:dyDescent="0.2">
      <c r="A114" s="219"/>
      <c r="B114" s="219"/>
      <c r="C114" s="219"/>
      <c r="D114" s="632"/>
      <c r="E114" s="633"/>
      <c r="F114" s="633"/>
      <c r="G114" s="634"/>
      <c r="H114" s="253"/>
      <c r="I114" s="632"/>
      <c r="J114" s="633"/>
      <c r="K114" s="633"/>
      <c r="L114" s="634"/>
      <c r="M114" s="253"/>
      <c r="N114" s="632"/>
      <c r="O114" s="633"/>
      <c r="P114" s="633"/>
      <c r="Q114" s="634"/>
      <c r="R114" s="253"/>
      <c r="S114" s="632"/>
      <c r="T114" s="633"/>
      <c r="U114" s="633"/>
      <c r="V114" s="634"/>
      <c r="W114" s="253"/>
      <c r="X114" s="632"/>
      <c r="Y114" s="633"/>
      <c r="Z114" s="633"/>
      <c r="AA114" s="634"/>
      <c r="AB114" s="219"/>
    </row>
    <row r="115" spans="1:28" ht="14.25" x14ac:dyDescent="0.2">
      <c r="A115" s="219"/>
      <c r="B115" s="219"/>
      <c r="C115" s="219"/>
      <c r="D115" s="769"/>
      <c r="E115" s="770"/>
      <c r="F115" s="770"/>
      <c r="G115" s="771"/>
      <c r="H115" s="253"/>
      <c r="I115" s="769"/>
      <c r="J115" s="770"/>
      <c r="K115" s="770"/>
      <c r="L115" s="771"/>
      <c r="M115" s="253"/>
      <c r="N115" s="769"/>
      <c r="O115" s="770"/>
      <c r="P115" s="770"/>
      <c r="Q115" s="771"/>
      <c r="R115" s="253"/>
      <c r="S115" s="769"/>
      <c r="T115" s="770"/>
      <c r="U115" s="770"/>
      <c r="V115" s="771"/>
      <c r="W115" s="253"/>
      <c r="X115" s="769"/>
      <c r="Y115" s="770"/>
      <c r="Z115" s="770"/>
      <c r="AA115" s="771"/>
      <c r="AB115" s="219"/>
    </row>
    <row r="116" spans="1:28" ht="15" x14ac:dyDescent="0.25">
      <c r="A116" s="219"/>
      <c r="B116" s="219"/>
      <c r="C116" s="219"/>
      <c r="D116" s="874" t="s">
        <v>275</v>
      </c>
      <c r="E116" s="875"/>
      <c r="F116" s="876"/>
      <c r="G116" s="877"/>
      <c r="H116" s="253"/>
      <c r="I116" s="874" t="s">
        <v>276</v>
      </c>
      <c r="J116" s="875"/>
      <c r="K116" s="876"/>
      <c r="L116" s="877"/>
      <c r="M116" s="253"/>
      <c r="N116" s="822" t="s">
        <v>277</v>
      </c>
      <c r="O116" s="823"/>
      <c r="P116" s="824"/>
      <c r="Q116" s="825"/>
      <c r="R116" s="253"/>
      <c r="S116" s="748" t="s">
        <v>895</v>
      </c>
      <c r="T116" s="776"/>
      <c r="U116" s="777"/>
      <c r="V116" s="778"/>
      <c r="W116" s="253"/>
      <c r="X116" s="822" t="s">
        <v>894</v>
      </c>
      <c r="Y116" s="823"/>
      <c r="Z116" s="824"/>
      <c r="AA116" s="825"/>
      <c r="AB116" s="219"/>
    </row>
    <row r="117" spans="1:28" ht="16.149999999999999" customHeight="1" thickBot="1" x14ac:dyDescent="0.25">
      <c r="A117" s="219"/>
      <c r="B117" s="219"/>
      <c r="C117" s="219"/>
      <c r="D117" s="903">
        <v>0.8</v>
      </c>
      <c r="E117" s="904"/>
      <c r="F117" s="671">
        <v>0</v>
      </c>
      <c r="G117" s="672"/>
      <c r="H117" s="253"/>
      <c r="I117" s="903">
        <v>0.8</v>
      </c>
      <c r="J117" s="904"/>
      <c r="K117" s="671">
        <v>16</v>
      </c>
      <c r="L117" s="672"/>
      <c r="M117" s="253"/>
      <c r="N117" s="755">
        <v>0.8</v>
      </c>
      <c r="O117" s="756"/>
      <c r="P117" s="637">
        <v>16</v>
      </c>
      <c r="Q117" s="638"/>
      <c r="R117" s="253"/>
      <c r="S117" s="755">
        <v>0.95</v>
      </c>
      <c r="T117" s="756"/>
      <c r="U117" s="637">
        <v>0</v>
      </c>
      <c r="V117" s="638"/>
      <c r="W117" s="253"/>
      <c r="X117" s="755">
        <v>0.95</v>
      </c>
      <c r="Y117" s="756"/>
      <c r="Z117" s="637">
        <v>0</v>
      </c>
      <c r="AA117" s="638"/>
      <c r="AB117" s="219"/>
    </row>
    <row r="118" spans="1:28" s="386" customFormat="1" ht="16.149999999999999" customHeight="1" x14ac:dyDescent="0.2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5" customHeight="1" x14ac:dyDescent="0.2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4.25" x14ac:dyDescent="0.2">
      <c r="A120" s="219"/>
      <c r="B120" s="219"/>
      <c r="C120" s="219"/>
      <c r="D120" s="617"/>
      <c r="E120" s="618"/>
      <c r="F120" s="618"/>
      <c r="G120" s="619"/>
      <c r="H120" s="253"/>
      <c r="I120" s="760"/>
      <c r="J120" s="761"/>
      <c r="K120" s="761"/>
      <c r="L120" s="762"/>
      <c r="M120" s="253"/>
      <c r="N120" s="760"/>
      <c r="O120" s="761"/>
      <c r="P120" s="761"/>
      <c r="Q120" s="762"/>
      <c r="R120" s="253"/>
      <c r="S120" s="612"/>
      <c r="T120" s="612"/>
      <c r="U120" s="612"/>
      <c r="V120" s="612"/>
      <c r="W120" s="253"/>
      <c r="X120" s="612"/>
      <c r="Y120" s="612"/>
      <c r="Z120" s="612"/>
      <c r="AA120" s="612"/>
      <c r="AB120" s="219"/>
    </row>
    <row r="121" spans="1:28" ht="14.25" x14ac:dyDescent="0.2">
      <c r="A121" s="219"/>
      <c r="B121" s="219"/>
      <c r="C121" s="219"/>
      <c r="D121" s="632"/>
      <c r="E121" s="633"/>
      <c r="F121" s="633"/>
      <c r="G121" s="634"/>
      <c r="H121" s="253"/>
      <c r="I121" s="763"/>
      <c r="J121" s="764"/>
      <c r="K121" s="764"/>
      <c r="L121" s="765"/>
      <c r="M121" s="253"/>
      <c r="N121" s="763"/>
      <c r="O121" s="764"/>
      <c r="P121" s="764"/>
      <c r="Q121" s="765"/>
      <c r="R121" s="253"/>
      <c r="S121" s="612"/>
      <c r="T121" s="612"/>
      <c r="U121" s="612"/>
      <c r="V121" s="612"/>
      <c r="W121" s="253"/>
      <c r="X121" s="612"/>
      <c r="Y121" s="612"/>
      <c r="Z121" s="612"/>
      <c r="AA121" s="612"/>
      <c r="AB121" s="219"/>
    </row>
    <row r="122" spans="1:28" ht="14.25" x14ac:dyDescent="0.2">
      <c r="A122" s="219"/>
      <c r="B122" s="219"/>
      <c r="C122" s="219"/>
      <c r="D122" s="272"/>
      <c r="E122" s="273"/>
      <c r="F122" s="273"/>
      <c r="G122" s="274"/>
      <c r="H122" s="253"/>
      <c r="I122" s="763"/>
      <c r="J122" s="764"/>
      <c r="K122" s="764"/>
      <c r="L122" s="765"/>
      <c r="M122" s="253"/>
      <c r="N122" s="763"/>
      <c r="O122" s="764"/>
      <c r="P122" s="764"/>
      <c r="Q122" s="765"/>
      <c r="R122" s="253"/>
      <c r="S122" s="612"/>
      <c r="T122" s="612"/>
      <c r="U122" s="612"/>
      <c r="V122" s="612"/>
      <c r="W122" s="253"/>
      <c r="X122" s="612"/>
      <c r="Y122" s="612"/>
      <c r="Z122" s="612"/>
      <c r="AA122" s="612"/>
      <c r="AB122" s="219"/>
    </row>
    <row r="123" spans="1:28" ht="12" customHeight="1" x14ac:dyDescent="0.2">
      <c r="A123" s="219"/>
      <c r="B123" s="219"/>
      <c r="C123" s="219"/>
      <c r="D123" s="632"/>
      <c r="E123" s="633"/>
      <c r="F123" s="633"/>
      <c r="G123" s="634"/>
      <c r="H123" s="253"/>
      <c r="I123" s="763"/>
      <c r="J123" s="764"/>
      <c r="K123" s="764"/>
      <c r="L123" s="765"/>
      <c r="M123" s="253"/>
      <c r="N123" s="763"/>
      <c r="O123" s="764"/>
      <c r="P123" s="764"/>
      <c r="Q123" s="765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4.25" x14ac:dyDescent="0.2">
      <c r="A124" s="219"/>
      <c r="B124" s="219"/>
      <c r="C124" s="219"/>
      <c r="D124" s="632"/>
      <c r="E124" s="633"/>
      <c r="F124" s="633"/>
      <c r="G124" s="634"/>
      <c r="H124" s="253"/>
      <c r="I124" s="763"/>
      <c r="J124" s="764"/>
      <c r="K124" s="764"/>
      <c r="L124" s="765"/>
      <c r="M124" s="253"/>
      <c r="N124" s="763"/>
      <c r="O124" s="764"/>
      <c r="P124" s="764"/>
      <c r="Q124" s="765"/>
      <c r="R124" s="253"/>
      <c r="S124" s="612"/>
      <c r="T124" s="612"/>
      <c r="U124" s="612"/>
      <c r="V124" s="612"/>
      <c r="W124" s="253"/>
      <c r="X124" s="612"/>
      <c r="Y124" s="612"/>
      <c r="Z124" s="612"/>
      <c r="AA124" s="612"/>
      <c r="AB124" s="219"/>
    </row>
    <row r="125" spans="1:28" ht="14.25" x14ac:dyDescent="0.2">
      <c r="A125" s="219"/>
      <c r="B125" s="219"/>
      <c r="C125" s="219"/>
      <c r="D125" s="769"/>
      <c r="E125" s="770"/>
      <c r="F125" s="770"/>
      <c r="G125" s="771"/>
      <c r="H125" s="253"/>
      <c r="I125" s="766"/>
      <c r="J125" s="767"/>
      <c r="K125" s="767"/>
      <c r="L125" s="768"/>
      <c r="M125" s="253"/>
      <c r="N125" s="766"/>
      <c r="O125" s="767"/>
      <c r="P125" s="767"/>
      <c r="Q125" s="768"/>
      <c r="R125" s="253"/>
      <c r="S125" s="612"/>
      <c r="T125" s="612"/>
      <c r="U125" s="612"/>
      <c r="V125" s="612"/>
      <c r="W125" s="253"/>
      <c r="X125" s="612"/>
      <c r="Y125" s="612"/>
      <c r="Z125" s="612"/>
      <c r="AA125" s="612"/>
      <c r="AB125" s="219"/>
    </row>
    <row r="126" spans="1:28" ht="15" x14ac:dyDescent="0.25">
      <c r="A126" s="219"/>
      <c r="B126" s="219"/>
      <c r="C126" s="219"/>
      <c r="D126" s="822" t="s">
        <v>278</v>
      </c>
      <c r="E126" s="823"/>
      <c r="F126" s="824"/>
      <c r="G126" s="825"/>
      <c r="H126" s="253"/>
      <c r="I126" s="822" t="s">
        <v>258</v>
      </c>
      <c r="J126" s="823"/>
      <c r="K126" s="824"/>
      <c r="L126" s="825"/>
      <c r="M126" s="253"/>
      <c r="N126" s="822" t="s">
        <v>259</v>
      </c>
      <c r="O126" s="823"/>
      <c r="P126" s="824"/>
      <c r="Q126" s="825"/>
      <c r="R126" s="253"/>
      <c r="S126" s="631"/>
      <c r="T126" s="631"/>
      <c r="U126" s="631"/>
      <c r="V126" s="631"/>
      <c r="W126" s="253"/>
      <c r="X126" s="631"/>
      <c r="Y126" s="631"/>
      <c r="Z126" s="631"/>
      <c r="AA126" s="631"/>
      <c r="AB126" s="219"/>
    </row>
    <row r="127" spans="1:28" s="173" customFormat="1" ht="16.149999999999999" customHeight="1" thickBot="1" x14ac:dyDescent="0.25">
      <c r="A127" s="220"/>
      <c r="B127" s="219"/>
      <c r="C127" s="219"/>
      <c r="D127" s="755">
        <v>0.8</v>
      </c>
      <c r="E127" s="756"/>
      <c r="F127" s="637">
        <v>0</v>
      </c>
      <c r="G127" s="638"/>
      <c r="H127" s="253"/>
      <c r="I127" s="755">
        <v>1.7</v>
      </c>
      <c r="J127" s="756"/>
      <c r="K127" s="637">
        <v>24</v>
      </c>
      <c r="L127" s="638"/>
      <c r="M127" s="253"/>
      <c r="N127" s="755">
        <v>1.8</v>
      </c>
      <c r="O127" s="756"/>
      <c r="P127" s="637">
        <v>24</v>
      </c>
      <c r="Q127" s="638"/>
      <c r="R127" s="253"/>
      <c r="S127" s="889"/>
      <c r="T127" s="889"/>
      <c r="U127" s="681"/>
      <c r="V127" s="681"/>
      <c r="W127" s="253"/>
      <c r="X127" s="889"/>
      <c r="Y127" s="889"/>
      <c r="Z127" s="681"/>
      <c r="AA127" s="681"/>
      <c r="AB127" s="219"/>
    </row>
    <row r="128" spans="1:28" s="460" customFormat="1" ht="16.149999999999999" customHeight="1" x14ac:dyDescent="0.2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">
      <c r="A130" s="226"/>
      <c r="B130" s="239"/>
      <c r="C130" s="239"/>
      <c r="D130" s="844" t="s">
        <v>611</v>
      </c>
      <c r="E130" s="844"/>
      <c r="F130" s="844"/>
      <c r="G130" s="844"/>
      <c r="H130" s="844"/>
      <c r="I130" s="844"/>
      <c r="J130" s="844"/>
      <c r="K130" s="844"/>
      <c r="L130" s="844"/>
      <c r="M130" s="844"/>
      <c r="N130" s="844"/>
      <c r="O130" s="844"/>
      <c r="P130" s="844"/>
      <c r="Q130" s="844"/>
      <c r="R130" s="844"/>
      <c r="S130" s="844"/>
      <c r="T130" s="844"/>
      <c r="U130" s="844"/>
      <c r="V130" s="844"/>
      <c r="W130" s="844"/>
      <c r="X130" s="844"/>
      <c r="Y130" s="844"/>
      <c r="Z130" s="844"/>
      <c r="AA130" s="844"/>
      <c r="AB130" s="239"/>
    </row>
    <row r="131" spans="1:28" ht="27" customHeight="1" x14ac:dyDescent="0.3">
      <c r="A131" s="219"/>
      <c r="B131" s="219"/>
      <c r="C131" s="219"/>
      <c r="D131" s="890" t="s">
        <v>279</v>
      </c>
      <c r="E131" s="890"/>
      <c r="F131" s="890"/>
      <c r="G131" s="890"/>
      <c r="H131" s="885"/>
      <c r="I131" s="890"/>
      <c r="J131" s="890"/>
      <c r="K131" s="890"/>
      <c r="L131" s="890"/>
      <c r="M131" s="885"/>
      <c r="N131" s="890"/>
      <c r="O131" s="890"/>
      <c r="P131" s="890"/>
      <c r="Q131" s="890"/>
      <c r="R131" s="885"/>
      <c r="S131" s="890"/>
      <c r="T131" s="890"/>
      <c r="U131" s="890"/>
      <c r="V131" s="890"/>
      <c r="W131" s="885"/>
      <c r="X131" s="890"/>
      <c r="Y131" s="890"/>
      <c r="Z131" s="890"/>
      <c r="AA131" s="890"/>
      <c r="AB131" s="343"/>
    </row>
    <row r="132" spans="1:28" s="167" customFormat="1" ht="18.75" x14ac:dyDescent="0.3">
      <c r="A132" s="374"/>
      <c r="B132" s="896"/>
      <c r="C132" s="249"/>
      <c r="D132" s="633"/>
      <c r="E132" s="633"/>
      <c r="F132" s="633"/>
      <c r="G132" s="633"/>
      <c r="H132" s="302"/>
      <c r="I132" s="633"/>
      <c r="J132" s="633"/>
      <c r="K132" s="633"/>
      <c r="L132" s="633"/>
      <c r="M132" s="302"/>
      <c r="N132" s="633"/>
      <c r="O132" s="633"/>
      <c r="P132" s="633"/>
      <c r="Q132" s="633"/>
      <c r="R132" s="302"/>
      <c r="S132" s="633"/>
      <c r="T132" s="633"/>
      <c r="U132" s="633"/>
      <c r="V132" s="633"/>
      <c r="W132" s="302"/>
      <c r="X132" s="633"/>
      <c r="Y132" s="633"/>
      <c r="Z132" s="633"/>
      <c r="AA132" s="633"/>
      <c r="AB132" s="344"/>
    </row>
    <row r="133" spans="1:28" ht="15" x14ac:dyDescent="0.25">
      <c r="A133" s="219"/>
      <c r="B133" s="896"/>
      <c r="C133" s="249"/>
      <c r="D133" s="633"/>
      <c r="E133" s="633"/>
      <c r="F133" s="633"/>
      <c r="G133" s="633"/>
      <c r="H133" s="302"/>
      <c r="I133" s="633"/>
      <c r="J133" s="633"/>
      <c r="K133" s="633"/>
      <c r="L133" s="633"/>
      <c r="M133" s="302"/>
      <c r="N133" s="633"/>
      <c r="O133" s="633"/>
      <c r="P133" s="633"/>
      <c r="Q133" s="633"/>
      <c r="R133" s="302"/>
      <c r="S133" s="633"/>
      <c r="T133" s="633"/>
      <c r="U133" s="633"/>
      <c r="V133" s="633"/>
      <c r="W133" s="302"/>
      <c r="X133" s="633"/>
      <c r="Y133" s="633"/>
      <c r="Z133" s="633"/>
      <c r="AA133" s="633"/>
      <c r="AB133" s="344"/>
    </row>
    <row r="134" spans="1:28" ht="12.6" customHeight="1" x14ac:dyDescent="0.25">
      <c r="A134" s="219"/>
      <c r="B134" s="896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65" customHeight="1" x14ac:dyDescent="0.25">
      <c r="A135" s="219"/>
      <c r="B135" s="896"/>
      <c r="C135" s="249"/>
      <c r="D135" s="633"/>
      <c r="E135" s="633"/>
      <c r="F135" s="633"/>
      <c r="G135" s="633"/>
      <c r="H135" s="302"/>
      <c r="I135" s="633"/>
      <c r="J135" s="633"/>
      <c r="K135" s="633"/>
      <c r="L135" s="633"/>
      <c r="M135" s="302"/>
      <c r="N135" s="633"/>
      <c r="O135" s="633"/>
      <c r="P135" s="633"/>
      <c r="Q135" s="633"/>
      <c r="R135" s="302"/>
      <c r="S135" s="633"/>
      <c r="T135" s="633"/>
      <c r="U135" s="633"/>
      <c r="V135" s="633"/>
      <c r="W135" s="302"/>
      <c r="X135" s="633"/>
      <c r="Y135" s="633"/>
      <c r="Z135" s="633"/>
      <c r="AA135" s="633"/>
      <c r="AB135" s="344"/>
    </row>
    <row r="136" spans="1:28" ht="15" x14ac:dyDescent="0.25">
      <c r="A136" s="219"/>
      <c r="B136" s="896"/>
      <c r="C136" s="249"/>
      <c r="D136" s="633"/>
      <c r="E136" s="633"/>
      <c r="F136" s="633"/>
      <c r="G136" s="633"/>
      <c r="H136" s="302"/>
      <c r="I136" s="633"/>
      <c r="J136" s="633"/>
      <c r="K136" s="633"/>
      <c r="L136" s="633"/>
      <c r="M136" s="302"/>
      <c r="N136" s="633"/>
      <c r="O136" s="633"/>
      <c r="P136" s="633"/>
      <c r="Q136" s="633"/>
      <c r="R136" s="302"/>
      <c r="S136" s="633"/>
      <c r="T136" s="633"/>
      <c r="U136" s="633"/>
      <c r="V136" s="633"/>
      <c r="W136" s="302"/>
      <c r="X136" s="633"/>
      <c r="Y136" s="633"/>
      <c r="Z136" s="633"/>
      <c r="AA136" s="633"/>
      <c r="AB136" s="344"/>
    </row>
    <row r="137" spans="1:28" ht="15" x14ac:dyDescent="0.25">
      <c r="A137" s="219"/>
      <c r="B137" s="896"/>
      <c r="C137" s="249"/>
      <c r="D137" s="597"/>
      <c r="E137" s="597"/>
      <c r="F137" s="597"/>
      <c r="G137" s="597"/>
      <c r="H137" s="302"/>
      <c r="I137" s="633"/>
      <c r="J137" s="633"/>
      <c r="K137" s="633"/>
      <c r="L137" s="633"/>
      <c r="M137" s="302"/>
      <c r="N137" s="633"/>
      <c r="O137" s="633"/>
      <c r="P137" s="633"/>
      <c r="Q137" s="633"/>
      <c r="R137" s="302"/>
      <c r="S137" s="633"/>
      <c r="T137" s="633"/>
      <c r="U137" s="633"/>
      <c r="V137" s="633"/>
      <c r="W137" s="302"/>
      <c r="X137" s="633"/>
      <c r="Y137" s="633"/>
      <c r="Z137" s="633"/>
      <c r="AA137" s="633"/>
      <c r="AB137" s="344"/>
    </row>
    <row r="138" spans="1:28" ht="15" x14ac:dyDescent="0.25">
      <c r="A138" s="219"/>
      <c r="B138" s="896"/>
      <c r="C138" s="228"/>
      <c r="D138" s="811" t="s">
        <v>242</v>
      </c>
      <c r="E138" s="812"/>
      <c r="F138" s="812"/>
      <c r="G138" s="813"/>
      <c r="H138" s="253"/>
      <c r="I138" s="811" t="s">
        <v>243</v>
      </c>
      <c r="J138" s="812"/>
      <c r="K138" s="812"/>
      <c r="L138" s="813"/>
      <c r="M138" s="253"/>
      <c r="N138" s="811" t="s">
        <v>244</v>
      </c>
      <c r="O138" s="812"/>
      <c r="P138" s="812"/>
      <c r="Q138" s="813"/>
      <c r="R138" s="253"/>
      <c r="S138" s="811" t="s">
        <v>245</v>
      </c>
      <c r="T138" s="812"/>
      <c r="U138" s="812"/>
      <c r="V138" s="813"/>
      <c r="W138" s="253"/>
      <c r="X138" s="811" t="s">
        <v>246</v>
      </c>
      <c r="Y138" s="812"/>
      <c r="Z138" s="812"/>
      <c r="AA138" s="813"/>
      <c r="AB138" s="221"/>
    </row>
    <row r="139" spans="1:28" ht="13.5" customHeight="1" x14ac:dyDescent="0.25">
      <c r="A139" s="219"/>
      <c r="B139" s="896"/>
      <c r="C139" s="228"/>
      <c r="D139" s="803" t="s">
        <v>288</v>
      </c>
      <c r="E139" s="803"/>
      <c r="F139" s="803"/>
      <c r="G139" s="803"/>
      <c r="H139" s="303"/>
      <c r="I139" s="810" t="s">
        <v>287</v>
      </c>
      <c r="J139" s="604"/>
      <c r="K139" s="604"/>
      <c r="L139" s="605"/>
      <c r="M139" s="303"/>
      <c r="N139" s="810" t="s">
        <v>284</v>
      </c>
      <c r="O139" s="604"/>
      <c r="P139" s="604"/>
      <c r="Q139" s="604"/>
      <c r="R139" s="372"/>
      <c r="S139" s="604" t="s">
        <v>286</v>
      </c>
      <c r="T139" s="604"/>
      <c r="U139" s="604"/>
      <c r="V139" s="605"/>
      <c r="W139" s="303"/>
      <c r="X139" s="810" t="s">
        <v>285</v>
      </c>
      <c r="Y139" s="604"/>
      <c r="Z139" s="604"/>
      <c r="AA139" s="605"/>
      <c r="AB139" s="224"/>
    </row>
    <row r="140" spans="1:28" ht="13.5" customHeight="1" thickBot="1" x14ac:dyDescent="0.3">
      <c r="A140" s="219"/>
      <c r="B140" s="896"/>
      <c r="C140" s="245"/>
      <c r="D140" s="639" t="s">
        <v>610</v>
      </c>
      <c r="E140" s="640"/>
      <c r="F140" s="660"/>
      <c r="G140" s="661"/>
      <c r="H140" s="261"/>
      <c r="I140" s="639" t="s">
        <v>612</v>
      </c>
      <c r="J140" s="640"/>
      <c r="K140" s="660"/>
      <c r="L140" s="661"/>
      <c r="M140" s="261"/>
      <c r="N140" s="639" t="s">
        <v>613</v>
      </c>
      <c r="O140" s="640"/>
      <c r="P140" s="660"/>
      <c r="Q140" s="660"/>
      <c r="R140" s="373"/>
      <c r="S140" s="640" t="s">
        <v>614</v>
      </c>
      <c r="T140" s="640"/>
      <c r="U140" s="660"/>
      <c r="V140" s="661"/>
      <c r="W140" s="261"/>
      <c r="X140" s="639" t="s">
        <v>634</v>
      </c>
      <c r="Y140" s="640"/>
      <c r="Z140" s="660"/>
      <c r="AA140" s="661"/>
      <c r="AB140" s="247"/>
    </row>
    <row r="141" spans="1:28" s="174" customFormat="1" ht="16.149999999999999" customHeight="1" thickBot="1" x14ac:dyDescent="0.3">
      <c r="A141" s="221"/>
      <c r="B141" s="896"/>
      <c r="C141" s="228"/>
      <c r="D141" s="802">
        <f>(D87*2)+D396+I396</f>
        <v>1.2500000000000002</v>
      </c>
      <c r="E141" s="630"/>
      <c r="F141" s="645">
        <v>0</v>
      </c>
      <c r="G141" s="795"/>
      <c r="H141" s="253"/>
      <c r="I141" s="802">
        <f>I87+N87+(D396+I396)*2</f>
        <v>2.1500000000000004</v>
      </c>
      <c r="J141" s="630"/>
      <c r="K141" s="645">
        <v>0</v>
      </c>
      <c r="L141" s="795"/>
      <c r="M141" s="253"/>
      <c r="N141" s="802">
        <f>(I87*2)+S87+(D396*3)+(I396*3)</f>
        <v>3.0999999999999996</v>
      </c>
      <c r="O141" s="630"/>
      <c r="P141" s="645">
        <v>0</v>
      </c>
      <c r="Q141" s="795"/>
      <c r="R141" s="253"/>
      <c r="S141" s="802">
        <f>(S87*2)+(D396*2)+(I396*2)</f>
        <v>2</v>
      </c>
      <c r="T141" s="630"/>
      <c r="U141" s="645">
        <v>0</v>
      </c>
      <c r="V141" s="795"/>
      <c r="W141" s="253"/>
      <c r="X141" s="802">
        <f>(I87*4)+(D396*4)+(I396*4)</f>
        <v>4.2</v>
      </c>
      <c r="Y141" s="630"/>
      <c r="Z141" s="645">
        <v>0</v>
      </c>
      <c r="AA141" s="795"/>
      <c r="AB141" s="221"/>
    </row>
    <row r="142" spans="1:28" s="173" customFormat="1" ht="10.15" customHeight="1" x14ac:dyDescent="0.25">
      <c r="A142" s="220"/>
      <c r="B142" s="896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5" x14ac:dyDescent="0.25">
      <c r="A143" s="219"/>
      <c r="B143" s="896"/>
      <c r="C143" s="249"/>
      <c r="D143" s="633"/>
      <c r="E143" s="633"/>
      <c r="F143" s="633"/>
      <c r="G143" s="633"/>
      <c r="H143" s="302"/>
      <c r="I143" s="633"/>
      <c r="J143" s="633"/>
      <c r="K143" s="633"/>
      <c r="L143" s="633"/>
      <c r="M143" s="302"/>
      <c r="N143" s="633"/>
      <c r="O143" s="633"/>
      <c r="P143" s="633"/>
      <c r="Q143" s="633"/>
      <c r="R143" s="302"/>
      <c r="S143" s="633"/>
      <c r="T143" s="633"/>
      <c r="U143" s="633"/>
      <c r="V143" s="633"/>
      <c r="W143" s="302"/>
      <c r="X143" s="633"/>
      <c r="Y143" s="633"/>
      <c r="Z143" s="633"/>
      <c r="AA143" s="633"/>
      <c r="AB143" s="344"/>
    </row>
    <row r="144" spans="1:28" ht="15" x14ac:dyDescent="0.25">
      <c r="A144" s="219"/>
      <c r="B144" s="896"/>
      <c r="C144" s="249"/>
      <c r="D144" s="633"/>
      <c r="E144" s="633"/>
      <c r="F144" s="633"/>
      <c r="G144" s="633"/>
      <c r="H144" s="302"/>
      <c r="I144" s="633"/>
      <c r="J144" s="633"/>
      <c r="K144" s="633"/>
      <c r="L144" s="633"/>
      <c r="M144" s="302"/>
      <c r="N144" s="633"/>
      <c r="O144" s="633"/>
      <c r="P144" s="633"/>
      <c r="Q144" s="633"/>
      <c r="R144" s="302"/>
      <c r="S144" s="633"/>
      <c r="T144" s="633"/>
      <c r="U144" s="633"/>
      <c r="V144" s="633"/>
      <c r="W144" s="302"/>
      <c r="X144" s="633"/>
      <c r="Y144" s="633"/>
      <c r="Z144" s="633"/>
      <c r="AA144" s="633"/>
      <c r="AB144" s="344"/>
    </row>
    <row r="145" spans="1:28" ht="15" x14ac:dyDescent="0.25">
      <c r="A145" s="219"/>
      <c r="B145" s="896"/>
      <c r="C145" s="249"/>
      <c r="D145" s="633"/>
      <c r="E145" s="633"/>
      <c r="F145" s="633"/>
      <c r="G145" s="633"/>
      <c r="H145" s="302"/>
      <c r="I145" s="633"/>
      <c r="J145" s="633"/>
      <c r="K145" s="633"/>
      <c r="L145" s="633"/>
      <c r="M145" s="302"/>
      <c r="N145" s="633"/>
      <c r="O145" s="633"/>
      <c r="P145" s="633"/>
      <c r="Q145" s="633"/>
      <c r="R145" s="302"/>
      <c r="S145" s="633"/>
      <c r="T145" s="633"/>
      <c r="U145" s="633"/>
      <c r="V145" s="633"/>
      <c r="W145" s="302"/>
      <c r="X145" s="273"/>
      <c r="Y145" s="273"/>
      <c r="Z145" s="273"/>
      <c r="AA145" s="273"/>
      <c r="AB145" s="344"/>
    </row>
    <row r="146" spans="1:28" ht="15" x14ac:dyDescent="0.25">
      <c r="A146" s="219"/>
      <c r="B146" s="896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3"/>
      <c r="O146" s="633"/>
      <c r="P146" s="633"/>
      <c r="Q146" s="633"/>
      <c r="R146" s="302"/>
      <c r="S146" s="633"/>
      <c r="T146" s="633"/>
      <c r="U146" s="633"/>
      <c r="V146" s="633"/>
      <c r="W146" s="302"/>
      <c r="X146" s="633"/>
      <c r="Y146" s="633"/>
      <c r="Z146" s="633"/>
      <c r="AA146" s="633"/>
      <c r="AB146" s="344"/>
    </row>
    <row r="147" spans="1:28" ht="15" x14ac:dyDescent="0.25">
      <c r="A147" s="219"/>
      <c r="B147" s="896"/>
      <c r="C147" s="249"/>
      <c r="D147" s="633"/>
      <c r="E147" s="633"/>
      <c r="F147" s="633"/>
      <c r="G147" s="633"/>
      <c r="H147" s="302"/>
      <c r="I147" s="633"/>
      <c r="J147" s="633"/>
      <c r="K147" s="633"/>
      <c r="L147" s="633"/>
      <c r="M147" s="302"/>
      <c r="N147" s="633"/>
      <c r="O147" s="633"/>
      <c r="P147" s="633"/>
      <c r="Q147" s="633"/>
      <c r="R147" s="302"/>
      <c r="S147" s="633"/>
      <c r="T147" s="633"/>
      <c r="U147" s="633"/>
      <c r="V147" s="633"/>
      <c r="W147" s="302"/>
      <c r="X147" s="633"/>
      <c r="Y147" s="633"/>
      <c r="Z147" s="633"/>
      <c r="AA147" s="633"/>
      <c r="AB147" s="344"/>
    </row>
    <row r="148" spans="1:28" ht="13.5" customHeight="1" x14ac:dyDescent="0.25">
      <c r="A148" s="219"/>
      <c r="B148" s="896"/>
      <c r="C148" s="249"/>
      <c r="D148" s="633"/>
      <c r="E148" s="633"/>
      <c r="F148" s="633"/>
      <c r="G148" s="633"/>
      <c r="H148" s="302"/>
      <c r="I148" s="633"/>
      <c r="J148" s="633"/>
      <c r="K148" s="633"/>
      <c r="L148" s="633"/>
      <c r="M148" s="302"/>
      <c r="N148" s="633"/>
      <c r="O148" s="633"/>
      <c r="P148" s="633"/>
      <c r="Q148" s="633"/>
      <c r="R148" s="302"/>
      <c r="S148" s="633"/>
      <c r="T148" s="633"/>
      <c r="U148" s="633"/>
      <c r="V148" s="633"/>
      <c r="W148" s="302"/>
      <c r="X148" s="633"/>
      <c r="Y148" s="633"/>
      <c r="Z148" s="633"/>
      <c r="AA148" s="633"/>
      <c r="AB148" s="344"/>
    </row>
    <row r="149" spans="1:28" ht="15" x14ac:dyDescent="0.25">
      <c r="A149" s="219"/>
      <c r="B149" s="896"/>
      <c r="C149" s="228"/>
      <c r="D149" s="757" t="s">
        <v>247</v>
      </c>
      <c r="E149" s="758"/>
      <c r="F149" s="758"/>
      <c r="G149" s="759"/>
      <c r="H149" s="253"/>
      <c r="I149" s="757" t="s">
        <v>248</v>
      </c>
      <c r="J149" s="758"/>
      <c r="K149" s="758"/>
      <c r="L149" s="759"/>
      <c r="M149" s="253"/>
      <c r="N149" s="757" t="s">
        <v>249</v>
      </c>
      <c r="O149" s="758"/>
      <c r="P149" s="758"/>
      <c r="Q149" s="759"/>
      <c r="R149" s="253"/>
      <c r="S149" s="757" t="s">
        <v>250</v>
      </c>
      <c r="T149" s="758"/>
      <c r="U149" s="758"/>
      <c r="V149" s="759"/>
      <c r="W149" s="253"/>
      <c r="X149" s="816" t="s">
        <v>251</v>
      </c>
      <c r="Y149" s="817"/>
      <c r="Z149" s="817"/>
      <c r="AA149" s="818"/>
      <c r="AB149" s="221"/>
    </row>
    <row r="150" spans="1:28" ht="13.5" customHeight="1" x14ac:dyDescent="0.25">
      <c r="A150" s="219"/>
      <c r="B150" s="896"/>
      <c r="C150" s="245"/>
      <c r="D150" s="677" t="s">
        <v>398</v>
      </c>
      <c r="E150" s="660"/>
      <c r="F150" s="660"/>
      <c r="G150" s="661"/>
      <c r="H150" s="266"/>
      <c r="I150" s="677" t="s">
        <v>397</v>
      </c>
      <c r="J150" s="660"/>
      <c r="K150" s="660"/>
      <c r="L150" s="661"/>
      <c r="M150" s="266"/>
      <c r="N150" s="677" t="s">
        <v>396</v>
      </c>
      <c r="O150" s="660"/>
      <c r="P150" s="660"/>
      <c r="Q150" s="661"/>
      <c r="R150" s="266"/>
      <c r="S150" s="677" t="s">
        <v>395</v>
      </c>
      <c r="T150" s="660"/>
      <c r="U150" s="660"/>
      <c r="V150" s="661"/>
      <c r="W150" s="266"/>
      <c r="X150" s="804" t="s">
        <v>394</v>
      </c>
      <c r="Y150" s="805"/>
      <c r="Z150" s="805"/>
      <c r="AA150" s="806"/>
      <c r="AB150" s="224"/>
    </row>
    <row r="151" spans="1:28" ht="13.5" customHeight="1" thickBot="1" x14ac:dyDescent="0.3">
      <c r="A151" s="219"/>
      <c r="B151" s="896"/>
      <c r="C151" s="245"/>
      <c r="D151" s="639" t="s">
        <v>621</v>
      </c>
      <c r="E151" s="640"/>
      <c r="F151" s="660"/>
      <c r="G151" s="661"/>
      <c r="H151" s="261"/>
      <c r="I151" s="639" t="s">
        <v>622</v>
      </c>
      <c r="J151" s="640"/>
      <c r="K151" s="660"/>
      <c r="L151" s="661"/>
      <c r="M151" s="261"/>
      <c r="N151" s="639" t="s">
        <v>615</v>
      </c>
      <c r="O151" s="640"/>
      <c r="P151" s="660"/>
      <c r="Q151" s="661"/>
      <c r="R151" s="261"/>
      <c r="S151" s="639" t="s">
        <v>616</v>
      </c>
      <c r="T151" s="640"/>
      <c r="U151" s="660"/>
      <c r="V151" s="661"/>
      <c r="W151" s="261"/>
      <c r="X151" s="639" t="s">
        <v>617</v>
      </c>
      <c r="Y151" s="640"/>
      <c r="Z151" s="660"/>
      <c r="AA151" s="661"/>
      <c r="AB151" s="247"/>
    </row>
    <row r="152" spans="1:28" s="173" customFormat="1" ht="16.149999999999999" customHeight="1" thickBot="1" x14ac:dyDescent="0.3">
      <c r="A152" s="220"/>
      <c r="B152" s="896"/>
      <c r="C152" s="228"/>
      <c r="D152" s="613">
        <f>(X87*2)+(D97*2)+(D396*2)+(I396*2)</f>
        <v>2.5000000000000004</v>
      </c>
      <c r="E152" s="895"/>
      <c r="F152" s="852">
        <v>0</v>
      </c>
      <c r="G152" s="894"/>
      <c r="H152" s="253"/>
      <c r="I152" s="802">
        <f>(I97*2)+(D97*2)+(D396*3)+(I396*3)</f>
        <v>4.05</v>
      </c>
      <c r="J152" s="630"/>
      <c r="K152" s="645">
        <v>0</v>
      </c>
      <c r="L152" s="795"/>
      <c r="M152" s="253"/>
      <c r="N152" s="802">
        <f>(N97*2)+D396+I396</f>
        <v>1.2500000000000002</v>
      </c>
      <c r="O152" s="630"/>
      <c r="P152" s="645">
        <v>0</v>
      </c>
      <c r="Q152" s="795"/>
      <c r="R152" s="253"/>
      <c r="S152" s="802">
        <f>(S97*2)+D396+I396</f>
        <v>1.55</v>
      </c>
      <c r="T152" s="630"/>
      <c r="U152" s="645">
        <v>0</v>
      </c>
      <c r="V152" s="795"/>
      <c r="W152" s="253"/>
      <c r="X152" s="808">
        <f>X97+D107+D396+I396</f>
        <v>2.0499999999999998</v>
      </c>
      <c r="Y152" s="809"/>
      <c r="Z152" s="645">
        <v>0</v>
      </c>
      <c r="AA152" s="795"/>
      <c r="AB152" s="221"/>
    </row>
    <row r="153" spans="1:28" ht="10.15" customHeight="1" x14ac:dyDescent="0.25">
      <c r="A153" s="219"/>
      <c r="B153" s="896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5" x14ac:dyDescent="0.25">
      <c r="A154" s="219"/>
      <c r="B154" s="896"/>
      <c r="C154" s="249"/>
      <c r="D154" s="633"/>
      <c r="E154" s="633"/>
      <c r="F154" s="633"/>
      <c r="G154" s="633"/>
      <c r="H154" s="302"/>
      <c r="I154" s="633"/>
      <c r="J154" s="633"/>
      <c r="K154" s="633"/>
      <c r="L154" s="633"/>
      <c r="M154" s="302"/>
      <c r="N154" s="830"/>
      <c r="O154" s="830"/>
      <c r="P154" s="830"/>
      <c r="Q154" s="830"/>
      <c r="R154" s="302"/>
      <c r="S154" s="633"/>
      <c r="T154" s="633"/>
      <c r="U154" s="633"/>
      <c r="V154" s="633"/>
      <c r="W154" s="302"/>
      <c r="X154" s="633"/>
      <c r="Y154" s="633"/>
      <c r="Z154" s="633"/>
      <c r="AA154" s="633"/>
      <c r="AB154" s="344"/>
    </row>
    <row r="155" spans="1:28" ht="15" x14ac:dyDescent="0.25">
      <c r="A155" s="219"/>
      <c r="B155" s="896"/>
      <c r="C155" s="249"/>
      <c r="D155" s="633"/>
      <c r="E155" s="633"/>
      <c r="F155" s="633"/>
      <c r="G155" s="633"/>
      <c r="H155" s="302"/>
      <c r="I155" s="633"/>
      <c r="J155" s="633"/>
      <c r="K155" s="633"/>
      <c r="L155" s="633"/>
      <c r="M155" s="302"/>
      <c r="N155" s="830"/>
      <c r="O155" s="830"/>
      <c r="P155" s="830"/>
      <c r="Q155" s="830"/>
      <c r="R155" s="302"/>
      <c r="S155" s="633"/>
      <c r="T155" s="633"/>
      <c r="U155" s="633"/>
      <c r="V155" s="633"/>
      <c r="W155" s="302"/>
      <c r="X155" s="633"/>
      <c r="Y155" s="633"/>
      <c r="Z155" s="633"/>
      <c r="AA155" s="633"/>
      <c r="AB155" s="344"/>
    </row>
    <row r="156" spans="1:28" ht="15" x14ac:dyDescent="0.25">
      <c r="A156" s="219"/>
      <c r="B156" s="896"/>
      <c r="C156" s="249"/>
      <c r="D156" s="633"/>
      <c r="E156" s="633"/>
      <c r="F156" s="633"/>
      <c r="G156" s="633"/>
      <c r="H156" s="302"/>
      <c r="I156" s="633"/>
      <c r="J156" s="633"/>
      <c r="K156" s="633"/>
      <c r="L156" s="633"/>
      <c r="M156" s="302"/>
      <c r="N156" s="830"/>
      <c r="O156" s="830"/>
      <c r="P156" s="830"/>
      <c r="Q156" s="830"/>
      <c r="R156" s="302"/>
      <c r="S156" s="633"/>
      <c r="T156" s="633"/>
      <c r="U156" s="633"/>
      <c r="V156" s="633"/>
      <c r="W156" s="302"/>
      <c r="X156" s="633"/>
      <c r="Y156" s="633"/>
      <c r="Z156" s="633"/>
      <c r="AA156" s="633"/>
      <c r="AB156" s="344"/>
    </row>
    <row r="157" spans="1:28" ht="15" x14ac:dyDescent="0.25">
      <c r="A157" s="219"/>
      <c r="B157" s="896"/>
      <c r="C157" s="249"/>
      <c r="D157" s="633"/>
      <c r="E157" s="633"/>
      <c r="F157" s="633"/>
      <c r="G157" s="633"/>
      <c r="H157" s="302"/>
      <c r="I157" s="633"/>
      <c r="J157" s="633"/>
      <c r="K157" s="633"/>
      <c r="L157" s="633"/>
      <c r="M157" s="302"/>
      <c r="N157" s="830"/>
      <c r="O157" s="830"/>
      <c r="P157" s="830"/>
      <c r="Q157" s="830"/>
      <c r="R157" s="302"/>
      <c r="S157" s="633"/>
      <c r="T157" s="633"/>
      <c r="U157" s="633"/>
      <c r="V157" s="633"/>
      <c r="W157" s="302"/>
      <c r="X157" s="633"/>
      <c r="Y157" s="633"/>
      <c r="Z157" s="633"/>
      <c r="AA157" s="633"/>
      <c r="AB157" s="344"/>
    </row>
    <row r="158" spans="1:28" ht="13.5" customHeight="1" x14ac:dyDescent="0.25">
      <c r="A158" s="219"/>
      <c r="B158" s="896"/>
      <c r="C158" s="249"/>
      <c r="D158" s="633"/>
      <c r="E158" s="633"/>
      <c r="F158" s="633"/>
      <c r="G158" s="633"/>
      <c r="H158" s="302"/>
      <c r="I158" s="633"/>
      <c r="J158" s="633"/>
      <c r="K158" s="633"/>
      <c r="L158" s="633"/>
      <c r="M158" s="302"/>
      <c r="N158" s="830"/>
      <c r="O158" s="830"/>
      <c r="P158" s="830"/>
      <c r="Q158" s="830"/>
      <c r="R158" s="302"/>
      <c r="S158" s="633"/>
      <c r="T158" s="633"/>
      <c r="U158" s="633"/>
      <c r="V158" s="633"/>
      <c r="W158" s="302"/>
      <c r="X158" s="633"/>
      <c r="Y158" s="633"/>
      <c r="Z158" s="633"/>
      <c r="AA158" s="633"/>
      <c r="AB158" s="344"/>
    </row>
    <row r="159" spans="1:28" ht="15" x14ac:dyDescent="0.25">
      <c r="A159" s="219"/>
      <c r="B159" s="896"/>
      <c r="C159" s="249"/>
      <c r="D159" s="633"/>
      <c r="E159" s="633"/>
      <c r="F159" s="633"/>
      <c r="G159" s="633"/>
      <c r="H159" s="302"/>
      <c r="I159" s="633"/>
      <c r="J159" s="633"/>
      <c r="K159" s="633"/>
      <c r="L159" s="633"/>
      <c r="M159" s="302"/>
      <c r="N159" s="830"/>
      <c r="O159" s="830"/>
      <c r="P159" s="830"/>
      <c r="Q159" s="830"/>
      <c r="R159" s="302"/>
      <c r="S159" s="633"/>
      <c r="T159" s="633"/>
      <c r="U159" s="633"/>
      <c r="V159" s="633"/>
      <c r="W159" s="302"/>
      <c r="X159" s="633"/>
      <c r="Y159" s="633"/>
      <c r="Z159" s="633"/>
      <c r="AA159" s="633"/>
      <c r="AB159" s="344"/>
    </row>
    <row r="160" spans="1:28" ht="15" x14ac:dyDescent="0.25">
      <c r="A160" s="219"/>
      <c r="B160" s="896"/>
      <c r="C160" s="228"/>
      <c r="D160" s="886" t="s">
        <v>252</v>
      </c>
      <c r="E160" s="887"/>
      <c r="F160" s="887"/>
      <c r="G160" s="891"/>
      <c r="H160" s="253"/>
      <c r="I160" s="816" t="s">
        <v>253</v>
      </c>
      <c r="J160" s="817"/>
      <c r="K160" s="817"/>
      <c r="L160" s="818"/>
      <c r="M160" s="253"/>
      <c r="N160" s="886" t="s">
        <v>254</v>
      </c>
      <c r="O160" s="887"/>
      <c r="P160" s="887"/>
      <c r="Q160" s="888"/>
      <c r="R160" s="302"/>
      <c r="S160" s="892" t="s">
        <v>255</v>
      </c>
      <c r="T160" s="887"/>
      <c r="U160" s="887"/>
      <c r="V160" s="891"/>
      <c r="W160" s="253"/>
      <c r="X160" s="886" t="s">
        <v>256</v>
      </c>
      <c r="Y160" s="887"/>
      <c r="Z160" s="887"/>
      <c r="AA160" s="891"/>
      <c r="AB160" s="221"/>
    </row>
    <row r="161" spans="1:28" ht="15" x14ac:dyDescent="0.25">
      <c r="A161" s="219"/>
      <c r="B161" s="896"/>
      <c r="C161" s="228"/>
      <c r="D161" s="602" t="s">
        <v>399</v>
      </c>
      <c r="E161" s="603"/>
      <c r="F161" s="603"/>
      <c r="G161" s="606"/>
      <c r="H161" s="303"/>
      <c r="I161" s="819" t="s">
        <v>400</v>
      </c>
      <c r="J161" s="820"/>
      <c r="K161" s="820"/>
      <c r="L161" s="821"/>
      <c r="M161" s="303"/>
      <c r="N161" s="893" t="s">
        <v>401</v>
      </c>
      <c r="O161" s="893"/>
      <c r="P161" s="803"/>
      <c r="Q161" s="803"/>
      <c r="R161" s="303"/>
      <c r="S161" s="893" t="s">
        <v>402</v>
      </c>
      <c r="T161" s="893"/>
      <c r="U161" s="803"/>
      <c r="V161" s="803"/>
      <c r="W161" s="303"/>
      <c r="X161" s="819" t="s">
        <v>508</v>
      </c>
      <c r="Y161" s="820"/>
      <c r="Z161" s="820"/>
      <c r="AA161" s="821"/>
      <c r="AB161" s="224"/>
    </row>
    <row r="162" spans="1:28" ht="15.75" thickBot="1" x14ac:dyDescent="0.3">
      <c r="A162" s="219"/>
      <c r="B162" s="896"/>
      <c r="C162" s="245"/>
      <c r="D162" s="639" t="s">
        <v>618</v>
      </c>
      <c r="E162" s="640"/>
      <c r="F162" s="660"/>
      <c r="G162" s="661"/>
      <c r="H162" s="261"/>
      <c r="I162" s="639" t="s">
        <v>619</v>
      </c>
      <c r="J162" s="640"/>
      <c r="K162" s="660"/>
      <c r="L162" s="661"/>
      <c r="M162" s="261"/>
      <c r="N162" s="639" t="s">
        <v>620</v>
      </c>
      <c r="O162" s="640"/>
      <c r="P162" s="660"/>
      <c r="Q162" s="661"/>
      <c r="R162" s="261"/>
      <c r="S162" s="639" t="s">
        <v>623</v>
      </c>
      <c r="T162" s="640"/>
      <c r="U162" s="660"/>
      <c r="V162" s="661"/>
      <c r="W162" s="261"/>
      <c r="X162" s="639" t="s">
        <v>624</v>
      </c>
      <c r="Y162" s="640"/>
      <c r="Z162" s="660"/>
      <c r="AA162" s="661"/>
      <c r="AB162" s="247"/>
    </row>
    <row r="163" spans="1:28" s="173" customFormat="1" ht="16.149999999999999" customHeight="1" thickBot="1" x14ac:dyDescent="0.3">
      <c r="A163" s="220"/>
      <c r="B163" s="896"/>
      <c r="C163" s="228"/>
      <c r="D163" s="802">
        <f>(D107*2)+D396+I396</f>
        <v>2.0499999999999998</v>
      </c>
      <c r="E163" s="630"/>
      <c r="F163" s="645">
        <v>0</v>
      </c>
      <c r="G163" s="795"/>
      <c r="H163" s="253"/>
      <c r="I163" s="808">
        <v>2.1</v>
      </c>
      <c r="J163" s="809"/>
      <c r="K163" s="645">
        <v>0</v>
      </c>
      <c r="L163" s="795"/>
      <c r="M163" s="253"/>
      <c r="N163" s="802">
        <f>(N107*2)+D396+I396</f>
        <v>1.33</v>
      </c>
      <c r="O163" s="630"/>
      <c r="P163" s="645">
        <v>0</v>
      </c>
      <c r="Q163" s="795"/>
      <c r="R163" s="253"/>
      <c r="S163" s="802">
        <f>(D97*4)+(S107*2)+(D396*4)+(I396*4)</f>
        <v>4.4000000000000004</v>
      </c>
      <c r="T163" s="630"/>
      <c r="U163" s="645">
        <v>0</v>
      </c>
      <c r="V163" s="795"/>
      <c r="W163" s="253"/>
      <c r="X163" s="808">
        <f>X107+D117+N396+I396</f>
        <v>1.7600000000000002</v>
      </c>
      <c r="Y163" s="809"/>
      <c r="Z163" s="645">
        <v>0</v>
      </c>
      <c r="AA163" s="795"/>
      <c r="AB163" s="221"/>
    </row>
    <row r="164" spans="1:28" ht="10.15" customHeight="1" x14ac:dyDescent="0.25">
      <c r="A164" s="219"/>
      <c r="B164" s="896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5" x14ac:dyDescent="0.25">
      <c r="A165" s="219"/>
      <c r="B165" s="896"/>
      <c r="C165" s="249"/>
      <c r="D165" s="830"/>
      <c r="E165" s="830"/>
      <c r="F165" s="830"/>
      <c r="G165" s="830"/>
      <c r="H165" s="302"/>
      <c r="I165" s="633"/>
      <c r="J165" s="633"/>
      <c r="K165" s="633"/>
      <c r="L165" s="633"/>
      <c r="M165" s="302"/>
      <c r="N165" s="830"/>
      <c r="O165" s="830"/>
      <c r="P165" s="830"/>
      <c r="Q165" s="830"/>
      <c r="R165" s="294"/>
      <c r="S165" s="826"/>
      <c r="T165" s="827"/>
      <c r="U165" s="827"/>
      <c r="V165" s="828"/>
      <c r="W165" s="253"/>
      <c r="X165" s="612"/>
      <c r="Y165" s="612"/>
      <c r="Z165" s="612"/>
      <c r="AA165" s="612"/>
      <c r="AB165" s="221"/>
    </row>
    <row r="166" spans="1:28" ht="15" x14ac:dyDescent="0.25">
      <c r="A166" s="219"/>
      <c r="B166" s="896"/>
      <c r="C166" s="249"/>
      <c r="D166" s="830"/>
      <c r="E166" s="830"/>
      <c r="F166" s="830"/>
      <c r="G166" s="830"/>
      <c r="H166" s="302"/>
      <c r="I166" s="633"/>
      <c r="J166" s="633"/>
      <c r="K166" s="633"/>
      <c r="L166" s="633"/>
      <c r="M166" s="302"/>
      <c r="N166" s="830"/>
      <c r="O166" s="830"/>
      <c r="P166" s="830"/>
      <c r="Q166" s="830"/>
      <c r="R166" s="294"/>
      <c r="S166" s="829"/>
      <c r="T166" s="830"/>
      <c r="U166" s="830"/>
      <c r="V166" s="831"/>
      <c r="W166" s="253"/>
      <c r="X166" s="612"/>
      <c r="Y166" s="612"/>
      <c r="Z166" s="612"/>
      <c r="AA166" s="612"/>
      <c r="AB166" s="221"/>
    </row>
    <row r="167" spans="1:28" ht="15" x14ac:dyDescent="0.25">
      <c r="A167" s="219"/>
      <c r="B167" s="896"/>
      <c r="C167" s="249"/>
      <c r="D167" s="830"/>
      <c r="E167" s="830"/>
      <c r="F167" s="830"/>
      <c r="G167" s="830"/>
      <c r="H167" s="302"/>
      <c r="I167" s="633"/>
      <c r="J167" s="633"/>
      <c r="K167" s="633"/>
      <c r="L167" s="633"/>
      <c r="M167" s="302"/>
      <c r="N167" s="830"/>
      <c r="O167" s="830"/>
      <c r="P167" s="830"/>
      <c r="Q167" s="830"/>
      <c r="R167" s="294"/>
      <c r="S167" s="829"/>
      <c r="T167" s="830"/>
      <c r="U167" s="830"/>
      <c r="V167" s="831"/>
      <c r="W167" s="253"/>
      <c r="X167" s="612"/>
      <c r="Y167" s="612"/>
      <c r="Z167" s="612"/>
      <c r="AA167" s="612"/>
      <c r="AB167" s="221"/>
    </row>
    <row r="168" spans="1:28" ht="12" customHeight="1" x14ac:dyDescent="0.25">
      <c r="A168" s="219"/>
      <c r="B168" s="896"/>
      <c r="C168" s="249"/>
      <c r="D168" s="830"/>
      <c r="E168" s="830"/>
      <c r="F168" s="830"/>
      <c r="G168" s="830"/>
      <c r="H168" s="302"/>
      <c r="I168" s="633"/>
      <c r="J168" s="633"/>
      <c r="K168" s="633"/>
      <c r="L168" s="633"/>
      <c r="M168" s="302"/>
      <c r="N168" s="830"/>
      <c r="O168" s="830"/>
      <c r="P168" s="830"/>
      <c r="Q168" s="830"/>
      <c r="R168" s="294"/>
      <c r="S168" s="829"/>
      <c r="T168" s="830"/>
      <c r="U168" s="830"/>
      <c r="V168" s="831"/>
      <c r="W168" s="253"/>
      <c r="X168" s="278"/>
      <c r="Y168" s="278"/>
      <c r="Z168" s="278"/>
      <c r="AA168" s="278"/>
      <c r="AB168" s="221"/>
    </row>
    <row r="169" spans="1:28" ht="15" x14ac:dyDescent="0.25">
      <c r="A169" s="219"/>
      <c r="B169" s="896"/>
      <c r="C169" s="249"/>
      <c r="D169" s="830"/>
      <c r="E169" s="830"/>
      <c r="F169" s="830"/>
      <c r="G169" s="830"/>
      <c r="H169" s="302"/>
      <c r="I169" s="633"/>
      <c r="J169" s="633"/>
      <c r="K169" s="633"/>
      <c r="L169" s="633"/>
      <c r="M169" s="302"/>
      <c r="N169" s="830"/>
      <c r="O169" s="830"/>
      <c r="P169" s="830"/>
      <c r="Q169" s="830"/>
      <c r="R169" s="294"/>
      <c r="S169" s="829"/>
      <c r="T169" s="830"/>
      <c r="U169" s="830"/>
      <c r="V169" s="831"/>
      <c r="W169" s="253"/>
      <c r="X169" s="612"/>
      <c r="Y169" s="612"/>
      <c r="Z169" s="612"/>
      <c r="AA169" s="612"/>
      <c r="AB169" s="221"/>
    </row>
    <row r="170" spans="1:28" ht="15" x14ac:dyDescent="0.25">
      <c r="A170" s="219"/>
      <c r="B170" s="896"/>
      <c r="C170" s="249"/>
      <c r="D170" s="830"/>
      <c r="E170" s="830"/>
      <c r="F170" s="830"/>
      <c r="G170" s="830"/>
      <c r="H170" s="302"/>
      <c r="I170" s="633"/>
      <c r="J170" s="633"/>
      <c r="K170" s="633"/>
      <c r="L170" s="633"/>
      <c r="M170" s="302"/>
      <c r="N170" s="830"/>
      <c r="O170" s="830"/>
      <c r="P170" s="830"/>
      <c r="Q170" s="830"/>
      <c r="R170" s="294"/>
      <c r="S170" s="832"/>
      <c r="T170" s="833"/>
      <c r="U170" s="833"/>
      <c r="V170" s="834"/>
      <c r="W170" s="253"/>
      <c r="X170" s="612"/>
      <c r="Y170" s="612"/>
      <c r="Z170" s="612"/>
      <c r="AA170" s="612"/>
      <c r="AB170" s="221"/>
    </row>
    <row r="171" spans="1:28" ht="15" x14ac:dyDescent="0.25">
      <c r="A171" s="219"/>
      <c r="B171" s="896"/>
      <c r="C171" s="228"/>
      <c r="D171" s="886" t="s">
        <v>257</v>
      </c>
      <c r="E171" s="887"/>
      <c r="F171" s="887"/>
      <c r="G171" s="891"/>
      <c r="H171" s="253"/>
      <c r="I171" s="886" t="s">
        <v>897</v>
      </c>
      <c r="J171" s="887"/>
      <c r="K171" s="887"/>
      <c r="L171" s="891"/>
      <c r="M171" s="253"/>
      <c r="N171" s="816" t="s">
        <v>896</v>
      </c>
      <c r="O171" s="817"/>
      <c r="P171" s="817"/>
      <c r="Q171" s="818"/>
      <c r="R171" s="253"/>
      <c r="S171" s="816" t="s">
        <v>290</v>
      </c>
      <c r="T171" s="817"/>
      <c r="U171" s="817"/>
      <c r="V171" s="818"/>
      <c r="W171" s="253"/>
      <c r="X171" s="631"/>
      <c r="Y171" s="631"/>
      <c r="Z171" s="631"/>
      <c r="AA171" s="631"/>
      <c r="AB171" s="221"/>
    </row>
    <row r="172" spans="1:28" ht="13.5" customHeight="1" x14ac:dyDescent="0.25">
      <c r="A172" s="219"/>
      <c r="B172" s="896"/>
      <c r="C172" s="245"/>
      <c r="D172" s="658" t="s">
        <v>403</v>
      </c>
      <c r="E172" s="658"/>
      <c r="F172" s="659"/>
      <c r="G172" s="659"/>
      <c r="H172" s="266"/>
      <c r="I172" s="658" t="s">
        <v>898</v>
      </c>
      <c r="J172" s="658"/>
      <c r="K172" s="659"/>
      <c r="L172" s="659"/>
      <c r="M172" s="266"/>
      <c r="N172" s="897" t="s">
        <v>900</v>
      </c>
      <c r="O172" s="898"/>
      <c r="P172" s="898"/>
      <c r="Q172" s="899"/>
      <c r="R172" s="266"/>
      <c r="S172" s="804" t="s">
        <v>404</v>
      </c>
      <c r="T172" s="805"/>
      <c r="U172" s="805"/>
      <c r="V172" s="806"/>
      <c r="W172" s="266"/>
      <c r="X172" s="835"/>
      <c r="Y172" s="835"/>
      <c r="Z172" s="835"/>
      <c r="AA172" s="835"/>
      <c r="AB172" s="224"/>
    </row>
    <row r="173" spans="1:28" ht="13.5" customHeight="1" thickBot="1" x14ac:dyDescent="0.3">
      <c r="A173" s="219"/>
      <c r="B173" s="896"/>
      <c r="C173" s="245"/>
      <c r="D173" s="639" t="s">
        <v>636</v>
      </c>
      <c r="E173" s="640"/>
      <c r="F173" s="660"/>
      <c r="G173" s="661"/>
      <c r="H173" s="261"/>
      <c r="I173" s="639" t="s">
        <v>899</v>
      </c>
      <c r="J173" s="640"/>
      <c r="K173" s="660"/>
      <c r="L173" s="661"/>
      <c r="M173" s="261"/>
      <c r="N173" s="639" t="s">
        <v>901</v>
      </c>
      <c r="O173" s="640"/>
      <c r="P173" s="660"/>
      <c r="Q173" s="661"/>
      <c r="R173" s="261"/>
      <c r="S173" s="639" t="s">
        <v>637</v>
      </c>
      <c r="T173" s="640"/>
      <c r="U173" s="660"/>
      <c r="V173" s="661"/>
      <c r="W173" s="261"/>
      <c r="X173" s="835"/>
      <c r="Y173" s="835"/>
      <c r="Z173" s="835"/>
      <c r="AA173" s="835"/>
      <c r="AB173" s="247"/>
    </row>
    <row r="174" spans="1:28" s="173" customFormat="1" ht="16.149999999999999" customHeight="1" thickBot="1" x14ac:dyDescent="0.3">
      <c r="A174" s="220"/>
      <c r="B174" s="896"/>
      <c r="C174" s="228"/>
      <c r="D174" s="802">
        <f>I117+N117+D396+I396</f>
        <v>1.7500000000000002</v>
      </c>
      <c r="E174" s="630"/>
      <c r="F174" s="645">
        <v>0</v>
      </c>
      <c r="G174" s="795"/>
      <c r="H174" s="253"/>
      <c r="I174" s="802">
        <v>2.2999999999999998</v>
      </c>
      <c r="J174" s="630"/>
      <c r="K174" s="645">
        <v>0</v>
      </c>
      <c r="L174" s="795"/>
      <c r="M174" s="253"/>
      <c r="N174" s="808">
        <v>2.4500000000000002</v>
      </c>
      <c r="O174" s="809"/>
      <c r="P174" s="645">
        <v>0</v>
      </c>
      <c r="Q174" s="795"/>
      <c r="R174" s="253"/>
      <c r="S174" s="808">
        <v>1.9</v>
      </c>
      <c r="T174" s="809"/>
      <c r="U174" s="645">
        <v>0</v>
      </c>
      <c r="V174" s="795"/>
      <c r="W174" s="253"/>
      <c r="X174" s="889"/>
      <c r="Y174" s="889"/>
      <c r="Z174" s="681"/>
      <c r="AA174" s="681"/>
      <c r="AB174" s="221"/>
    </row>
    <row r="175" spans="1:28" ht="27" customHeight="1" x14ac:dyDescent="0.2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">
      <c r="A176" s="374"/>
      <c r="B176" s="233"/>
      <c r="C176" s="233"/>
      <c r="D176" s="772" t="s">
        <v>592</v>
      </c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  <c r="AA176" s="772"/>
      <c r="AB176" s="233"/>
    </row>
    <row r="177" spans="1:28" s="167" customFormat="1" ht="27" customHeight="1" x14ac:dyDescent="0.3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4.25" x14ac:dyDescent="0.2">
      <c r="A178" s="219"/>
      <c r="B178" s="219"/>
      <c r="C178" s="219"/>
      <c r="D178" s="617"/>
      <c r="E178" s="618"/>
      <c r="F178" s="618"/>
      <c r="G178" s="619"/>
      <c r="H178" s="253"/>
      <c r="I178" s="617"/>
      <c r="J178" s="618"/>
      <c r="K178" s="618"/>
      <c r="L178" s="619"/>
      <c r="M178" s="253"/>
      <c r="N178" s="617"/>
      <c r="O178" s="618"/>
      <c r="P178" s="618"/>
      <c r="Q178" s="619"/>
      <c r="R178" s="253"/>
      <c r="S178" s="617"/>
      <c r="T178" s="618"/>
      <c r="U178" s="618"/>
      <c r="V178" s="619"/>
      <c r="W178" s="253"/>
      <c r="X178" s="617"/>
      <c r="Y178" s="618"/>
      <c r="Z178" s="618"/>
      <c r="AA178" s="619"/>
      <c r="AB178" s="219"/>
    </row>
    <row r="179" spans="1:28" ht="12" customHeight="1" x14ac:dyDescent="0.2">
      <c r="A179" s="219"/>
      <c r="B179" s="219"/>
      <c r="C179" s="219"/>
      <c r="D179" s="632"/>
      <c r="E179" s="633"/>
      <c r="F179" s="633"/>
      <c r="G179" s="634"/>
      <c r="H179" s="253"/>
      <c r="I179" s="632"/>
      <c r="J179" s="633"/>
      <c r="K179" s="633"/>
      <c r="L179" s="634"/>
      <c r="M179" s="253"/>
      <c r="N179" s="632"/>
      <c r="O179" s="633"/>
      <c r="P179" s="633"/>
      <c r="Q179" s="634"/>
      <c r="R179" s="253"/>
      <c r="S179" s="632"/>
      <c r="T179" s="633"/>
      <c r="U179" s="633"/>
      <c r="V179" s="634"/>
      <c r="W179" s="253"/>
      <c r="X179" s="632"/>
      <c r="Y179" s="633"/>
      <c r="Z179" s="633"/>
      <c r="AA179" s="634"/>
      <c r="AB179" s="219"/>
    </row>
    <row r="180" spans="1:28" ht="13.5" customHeight="1" x14ac:dyDescent="0.2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">
      <c r="A181" s="219"/>
      <c r="B181" s="219"/>
      <c r="C181" s="219"/>
      <c r="D181" s="632"/>
      <c r="E181" s="633"/>
      <c r="F181" s="633"/>
      <c r="G181" s="634"/>
      <c r="H181" s="253"/>
      <c r="I181" s="632"/>
      <c r="J181" s="633"/>
      <c r="K181" s="633"/>
      <c r="L181" s="634"/>
      <c r="M181" s="253"/>
      <c r="N181" s="632"/>
      <c r="O181" s="633"/>
      <c r="P181" s="633"/>
      <c r="Q181" s="634"/>
      <c r="R181" s="253"/>
      <c r="S181" s="632"/>
      <c r="T181" s="633"/>
      <c r="U181" s="633"/>
      <c r="V181" s="634"/>
      <c r="W181" s="253"/>
      <c r="X181" s="632"/>
      <c r="Y181" s="633"/>
      <c r="Z181" s="633"/>
      <c r="AA181" s="634"/>
      <c r="AB181" s="219"/>
    </row>
    <row r="182" spans="1:28" ht="13.5" customHeight="1" x14ac:dyDescent="0.2">
      <c r="A182" s="219"/>
      <c r="B182" s="219"/>
      <c r="C182" s="219"/>
      <c r="D182" s="632"/>
      <c r="E182" s="633"/>
      <c r="F182" s="633"/>
      <c r="G182" s="634"/>
      <c r="H182" s="253"/>
      <c r="I182" s="632"/>
      <c r="J182" s="633"/>
      <c r="K182" s="633"/>
      <c r="L182" s="634"/>
      <c r="M182" s="253"/>
      <c r="N182" s="632"/>
      <c r="O182" s="633"/>
      <c r="P182" s="633"/>
      <c r="Q182" s="634"/>
      <c r="R182" s="253"/>
      <c r="S182" s="632"/>
      <c r="T182" s="633"/>
      <c r="U182" s="633"/>
      <c r="V182" s="634"/>
      <c r="W182" s="253"/>
      <c r="X182" s="632"/>
      <c r="Y182" s="633"/>
      <c r="Z182" s="633"/>
      <c r="AA182" s="634"/>
      <c r="AB182" s="219"/>
    </row>
    <row r="183" spans="1:28" ht="13.5" customHeight="1" x14ac:dyDescent="0.2">
      <c r="A183" s="219"/>
      <c r="B183" s="219"/>
      <c r="C183" s="219"/>
      <c r="D183" s="632"/>
      <c r="E183" s="633"/>
      <c r="F183" s="633"/>
      <c r="G183" s="634"/>
      <c r="H183" s="253"/>
      <c r="I183" s="632"/>
      <c r="J183" s="633"/>
      <c r="K183" s="633"/>
      <c r="L183" s="634"/>
      <c r="M183" s="253"/>
      <c r="N183" s="632"/>
      <c r="O183" s="633"/>
      <c r="P183" s="633"/>
      <c r="Q183" s="634"/>
      <c r="R183" s="253"/>
      <c r="S183" s="632"/>
      <c r="T183" s="633"/>
      <c r="U183" s="633"/>
      <c r="V183" s="634"/>
      <c r="W183" s="253"/>
      <c r="X183" s="632"/>
      <c r="Y183" s="633"/>
      <c r="Z183" s="633"/>
      <c r="AA183" s="634"/>
      <c r="AB183" s="219"/>
    </row>
    <row r="184" spans="1:28" ht="13.5" customHeight="1" x14ac:dyDescent="0.25">
      <c r="A184" s="219"/>
      <c r="B184" s="219"/>
      <c r="C184" s="219"/>
      <c r="D184" s="651" t="s">
        <v>296</v>
      </c>
      <c r="E184" s="652"/>
      <c r="F184" s="652"/>
      <c r="G184" s="653"/>
      <c r="H184" s="253"/>
      <c r="I184" s="651" t="s">
        <v>297</v>
      </c>
      <c r="J184" s="652"/>
      <c r="K184" s="652"/>
      <c r="L184" s="653"/>
      <c r="M184" s="253"/>
      <c r="N184" s="651" t="s">
        <v>298</v>
      </c>
      <c r="O184" s="652"/>
      <c r="P184" s="652"/>
      <c r="Q184" s="653"/>
      <c r="R184" s="253"/>
      <c r="S184" s="651" t="s">
        <v>299</v>
      </c>
      <c r="T184" s="652"/>
      <c r="U184" s="652"/>
      <c r="V184" s="653"/>
      <c r="W184" s="253"/>
      <c r="X184" s="651" t="s">
        <v>300</v>
      </c>
      <c r="Y184" s="652"/>
      <c r="Z184" s="652"/>
      <c r="AA184" s="653"/>
      <c r="AB184" s="219"/>
    </row>
    <row r="185" spans="1:28" ht="16.149999999999999" customHeight="1" x14ac:dyDescent="0.25">
      <c r="A185" s="219"/>
      <c r="B185" s="221"/>
      <c r="C185" s="221"/>
      <c r="D185" s="654">
        <v>0.72</v>
      </c>
      <c r="E185" s="655"/>
      <c r="F185" s="643">
        <v>0</v>
      </c>
      <c r="G185" s="644"/>
      <c r="H185" s="253"/>
      <c r="I185" s="654">
        <v>1.1499999999999999</v>
      </c>
      <c r="J185" s="655"/>
      <c r="K185" s="643">
        <v>0</v>
      </c>
      <c r="L185" s="644"/>
      <c r="M185" s="253"/>
      <c r="N185" s="654">
        <v>1.2</v>
      </c>
      <c r="O185" s="655"/>
      <c r="P185" s="643">
        <v>0</v>
      </c>
      <c r="Q185" s="644"/>
      <c r="R185" s="253"/>
      <c r="S185" s="654">
        <v>1.07</v>
      </c>
      <c r="T185" s="655"/>
      <c r="U185" s="643">
        <v>0</v>
      </c>
      <c r="V185" s="644"/>
      <c r="W185" s="253"/>
      <c r="X185" s="654">
        <v>0.7</v>
      </c>
      <c r="Y185" s="655"/>
      <c r="Z185" s="643">
        <v>0</v>
      </c>
      <c r="AA185" s="644"/>
      <c r="AB185" s="221"/>
    </row>
    <row r="186" spans="1:28" s="386" customFormat="1" ht="16.149999999999999" customHeight="1" x14ac:dyDescent="0.2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5" customHeight="1" x14ac:dyDescent="0.2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65" customHeight="1" x14ac:dyDescent="0.2">
      <c r="A188" s="376"/>
      <c r="B188" s="219"/>
      <c r="C188" s="219"/>
      <c r="D188" s="617"/>
      <c r="E188" s="618"/>
      <c r="F188" s="618"/>
      <c r="G188" s="619"/>
      <c r="H188" s="253"/>
      <c r="I188" s="617"/>
      <c r="J188" s="618"/>
      <c r="K188" s="618"/>
      <c r="L188" s="619"/>
      <c r="M188" s="253"/>
      <c r="N188" s="617"/>
      <c r="O188" s="618"/>
      <c r="P188" s="618"/>
      <c r="Q188" s="619"/>
      <c r="R188" s="253"/>
      <c r="S188" s="617"/>
      <c r="T188" s="618"/>
      <c r="U188" s="618"/>
      <c r="V188" s="619"/>
      <c r="W188" s="253"/>
      <c r="X188" s="617"/>
      <c r="Y188" s="618"/>
      <c r="Z188" s="618"/>
      <c r="AA188" s="619"/>
      <c r="AB188" s="219"/>
    </row>
    <row r="189" spans="1:28" ht="13.5" customHeight="1" x14ac:dyDescent="0.2">
      <c r="A189" s="219"/>
      <c r="B189" s="219"/>
      <c r="C189" s="219"/>
      <c r="D189" s="632"/>
      <c r="E189" s="633"/>
      <c r="F189" s="633"/>
      <c r="G189" s="634"/>
      <c r="H189" s="253"/>
      <c r="I189" s="632"/>
      <c r="J189" s="633"/>
      <c r="K189" s="633"/>
      <c r="L189" s="634"/>
      <c r="M189" s="253"/>
      <c r="N189" s="632"/>
      <c r="O189" s="633"/>
      <c r="P189" s="633"/>
      <c r="Q189" s="634"/>
      <c r="R189" s="253"/>
      <c r="S189" s="632"/>
      <c r="T189" s="633"/>
      <c r="U189" s="633"/>
      <c r="V189" s="634"/>
      <c r="W189" s="253"/>
      <c r="X189" s="632"/>
      <c r="Y189" s="633"/>
      <c r="Z189" s="633"/>
      <c r="AA189" s="634"/>
      <c r="AB189" s="219"/>
    </row>
    <row r="190" spans="1:28" ht="13.5" customHeight="1" x14ac:dyDescent="0.2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2"/>
      <c r="Y190" s="633"/>
      <c r="Z190" s="633"/>
      <c r="AA190" s="634"/>
      <c r="AB190" s="219"/>
    </row>
    <row r="191" spans="1:28" ht="14.25" x14ac:dyDescent="0.2">
      <c r="A191" s="219"/>
      <c r="B191" s="219"/>
      <c r="C191" s="219"/>
      <c r="D191" s="632"/>
      <c r="E191" s="633"/>
      <c r="F191" s="633"/>
      <c r="G191" s="634"/>
      <c r="H191" s="253"/>
      <c r="I191" s="632"/>
      <c r="J191" s="633"/>
      <c r="K191" s="633"/>
      <c r="L191" s="634"/>
      <c r="M191" s="253"/>
      <c r="N191" s="632"/>
      <c r="O191" s="633"/>
      <c r="P191" s="633"/>
      <c r="Q191" s="634"/>
      <c r="R191" s="253"/>
      <c r="S191" s="632"/>
      <c r="T191" s="633"/>
      <c r="U191" s="633"/>
      <c r="V191" s="634"/>
      <c r="W191" s="253"/>
      <c r="X191" s="632"/>
      <c r="Y191" s="633"/>
      <c r="Z191" s="633"/>
      <c r="AA191" s="634"/>
      <c r="AB191" s="219"/>
    </row>
    <row r="192" spans="1:28" ht="14.25" x14ac:dyDescent="0.2">
      <c r="A192" s="219"/>
      <c r="B192" s="219"/>
      <c r="C192" s="219"/>
      <c r="D192" s="632"/>
      <c r="E192" s="633"/>
      <c r="F192" s="633"/>
      <c r="G192" s="634"/>
      <c r="H192" s="253"/>
      <c r="I192" s="632"/>
      <c r="J192" s="633"/>
      <c r="K192" s="633"/>
      <c r="L192" s="634"/>
      <c r="M192" s="253"/>
      <c r="N192" s="632"/>
      <c r="O192" s="633"/>
      <c r="P192" s="633"/>
      <c r="Q192" s="634"/>
      <c r="R192" s="253"/>
      <c r="S192" s="632"/>
      <c r="T192" s="633"/>
      <c r="U192" s="633"/>
      <c r="V192" s="634"/>
      <c r="W192" s="253"/>
      <c r="X192" s="632"/>
      <c r="Y192" s="633"/>
      <c r="Z192" s="633"/>
      <c r="AA192" s="634"/>
      <c r="AB192" s="219"/>
    </row>
    <row r="193" spans="1:28" ht="14.25" x14ac:dyDescent="0.2">
      <c r="A193" s="219"/>
      <c r="B193" s="219"/>
      <c r="C193" s="219"/>
      <c r="D193" s="632"/>
      <c r="E193" s="633"/>
      <c r="F193" s="633"/>
      <c r="G193" s="634"/>
      <c r="H193" s="253"/>
      <c r="I193" s="632"/>
      <c r="J193" s="633"/>
      <c r="K193" s="633"/>
      <c r="L193" s="634"/>
      <c r="M193" s="253"/>
      <c r="N193" s="632"/>
      <c r="O193" s="633"/>
      <c r="P193" s="633"/>
      <c r="Q193" s="634"/>
      <c r="R193" s="253"/>
      <c r="S193" s="632"/>
      <c r="T193" s="633"/>
      <c r="U193" s="633"/>
      <c r="V193" s="634"/>
      <c r="W193" s="253"/>
      <c r="X193" s="632"/>
      <c r="Y193" s="633"/>
      <c r="Z193" s="633"/>
      <c r="AA193" s="634"/>
      <c r="AB193" s="219"/>
    </row>
    <row r="194" spans="1:28" ht="15" x14ac:dyDescent="0.25">
      <c r="A194" s="219"/>
      <c r="B194" s="219"/>
      <c r="C194" s="219"/>
      <c r="D194" s="651" t="s">
        <v>301</v>
      </c>
      <c r="E194" s="652"/>
      <c r="F194" s="652"/>
      <c r="G194" s="653"/>
      <c r="H194" s="253"/>
      <c r="I194" s="651" t="s">
        <v>567</v>
      </c>
      <c r="J194" s="652"/>
      <c r="K194" s="652"/>
      <c r="L194" s="653"/>
      <c r="M194" s="253"/>
      <c r="N194" s="651" t="s">
        <v>302</v>
      </c>
      <c r="O194" s="652"/>
      <c r="P194" s="652"/>
      <c r="Q194" s="653"/>
      <c r="R194" s="253"/>
      <c r="S194" s="845" t="s">
        <v>568</v>
      </c>
      <c r="T194" s="846"/>
      <c r="U194" s="846"/>
      <c r="V194" s="847"/>
      <c r="W194" s="253"/>
      <c r="X194" s="845" t="s">
        <v>589</v>
      </c>
      <c r="Y194" s="846"/>
      <c r="Z194" s="846"/>
      <c r="AA194" s="847"/>
      <c r="AB194" s="219"/>
    </row>
    <row r="195" spans="1:28" ht="16.149999999999999" customHeight="1" x14ac:dyDescent="0.25">
      <c r="A195" s="219"/>
      <c r="B195" s="219"/>
      <c r="C195" s="219"/>
      <c r="D195" s="654">
        <v>0.7</v>
      </c>
      <c r="E195" s="655"/>
      <c r="F195" s="643">
        <v>0</v>
      </c>
      <c r="G195" s="644"/>
      <c r="H195" s="253"/>
      <c r="I195" s="654">
        <v>0.95</v>
      </c>
      <c r="J195" s="655"/>
      <c r="K195" s="643">
        <v>0</v>
      </c>
      <c r="L195" s="644"/>
      <c r="M195" s="253"/>
      <c r="N195" s="654">
        <v>0.76</v>
      </c>
      <c r="O195" s="655"/>
      <c r="P195" s="643">
        <v>0</v>
      </c>
      <c r="Q195" s="644"/>
      <c r="R195" s="253"/>
      <c r="S195" s="654">
        <v>0.91</v>
      </c>
      <c r="T195" s="655"/>
      <c r="U195" s="643">
        <v>0</v>
      </c>
      <c r="V195" s="644"/>
      <c r="W195" s="253"/>
      <c r="X195" s="654">
        <v>0.95</v>
      </c>
      <c r="Y195" s="655"/>
      <c r="Z195" s="643">
        <v>0</v>
      </c>
      <c r="AA195" s="644"/>
      <c r="AB195" s="219"/>
    </row>
    <row r="196" spans="1:28" s="386" customFormat="1" ht="16.149999999999999" customHeight="1" x14ac:dyDescent="0.2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5" customHeight="1" x14ac:dyDescent="0.2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">
      <c r="A198" s="219"/>
      <c r="B198" s="219"/>
      <c r="C198" s="219"/>
      <c r="D198" s="617"/>
      <c r="E198" s="618"/>
      <c r="F198" s="618"/>
      <c r="G198" s="619"/>
      <c r="H198" s="253"/>
      <c r="I198" s="617"/>
      <c r="J198" s="618"/>
      <c r="K198" s="618"/>
      <c r="L198" s="619"/>
      <c r="M198" s="253"/>
      <c r="N198" s="617"/>
      <c r="O198" s="618"/>
      <c r="P198" s="618"/>
      <c r="Q198" s="619"/>
      <c r="R198" s="253"/>
      <c r="S198" s="617"/>
      <c r="T198" s="618"/>
      <c r="U198" s="618"/>
      <c r="V198" s="619"/>
      <c r="W198" s="253"/>
      <c r="X198" s="617"/>
      <c r="Y198" s="618"/>
      <c r="Z198" s="618"/>
      <c r="AA198" s="619"/>
      <c r="AB198" s="219"/>
    </row>
    <row r="199" spans="1:28" ht="13.5" customHeight="1" x14ac:dyDescent="0.2">
      <c r="A199" s="219"/>
      <c r="B199" s="219"/>
      <c r="C199" s="219"/>
      <c r="D199" s="632"/>
      <c r="E199" s="633"/>
      <c r="F199" s="633"/>
      <c r="G199" s="634"/>
      <c r="H199" s="253"/>
      <c r="I199" s="632"/>
      <c r="J199" s="633"/>
      <c r="K199" s="633"/>
      <c r="L199" s="634"/>
      <c r="M199" s="253"/>
      <c r="N199" s="632"/>
      <c r="O199" s="633"/>
      <c r="P199" s="633"/>
      <c r="Q199" s="634"/>
      <c r="R199" s="253"/>
      <c r="S199" s="632"/>
      <c r="T199" s="633"/>
      <c r="U199" s="633"/>
      <c r="V199" s="634"/>
      <c r="W199" s="253"/>
      <c r="X199" s="632"/>
      <c r="Y199" s="633"/>
      <c r="Z199" s="633"/>
      <c r="AA199" s="634"/>
      <c r="AB199" s="219"/>
    </row>
    <row r="200" spans="1:28" ht="13.5" customHeight="1" x14ac:dyDescent="0.2">
      <c r="A200" s="219"/>
      <c r="B200" s="219"/>
      <c r="C200" s="219"/>
      <c r="D200" s="632"/>
      <c r="E200" s="633"/>
      <c r="F200" s="633"/>
      <c r="G200" s="634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">
      <c r="A201" s="219"/>
      <c r="B201" s="219"/>
      <c r="C201" s="219"/>
      <c r="D201" s="632"/>
      <c r="E201" s="633"/>
      <c r="F201" s="633"/>
      <c r="G201" s="634"/>
      <c r="H201" s="253"/>
      <c r="I201" s="632"/>
      <c r="J201" s="633"/>
      <c r="K201" s="633"/>
      <c r="L201" s="634"/>
      <c r="M201" s="253"/>
      <c r="N201" s="632"/>
      <c r="O201" s="633"/>
      <c r="P201" s="633"/>
      <c r="Q201" s="634"/>
      <c r="R201" s="253"/>
      <c r="S201" s="632"/>
      <c r="T201" s="633"/>
      <c r="U201" s="633"/>
      <c r="V201" s="634"/>
      <c r="W201" s="253"/>
      <c r="X201" s="632"/>
      <c r="Y201" s="633"/>
      <c r="Z201" s="633"/>
      <c r="AA201" s="634"/>
      <c r="AB201" s="219"/>
    </row>
    <row r="202" spans="1:28" ht="13.5" customHeight="1" x14ac:dyDescent="0.2">
      <c r="A202" s="219"/>
      <c r="B202" s="219"/>
      <c r="C202" s="219"/>
      <c r="D202" s="632"/>
      <c r="E202" s="633"/>
      <c r="F202" s="633"/>
      <c r="G202" s="634"/>
      <c r="H202" s="253"/>
      <c r="I202" s="632"/>
      <c r="J202" s="633"/>
      <c r="K202" s="633"/>
      <c r="L202" s="634"/>
      <c r="M202" s="253"/>
      <c r="N202" s="632"/>
      <c r="O202" s="633"/>
      <c r="P202" s="633"/>
      <c r="Q202" s="634"/>
      <c r="R202" s="253"/>
      <c r="S202" s="632"/>
      <c r="T202" s="633"/>
      <c r="U202" s="633"/>
      <c r="V202" s="634"/>
      <c r="W202" s="253"/>
      <c r="X202" s="632"/>
      <c r="Y202" s="633"/>
      <c r="Z202" s="633"/>
      <c r="AA202" s="634"/>
      <c r="AB202" s="219"/>
    </row>
    <row r="203" spans="1:28" ht="13.5" customHeight="1" x14ac:dyDescent="0.2">
      <c r="A203" s="219"/>
      <c r="B203" s="219"/>
      <c r="C203" s="219"/>
      <c r="D203" s="632"/>
      <c r="E203" s="633"/>
      <c r="F203" s="633"/>
      <c r="G203" s="634"/>
      <c r="H203" s="253"/>
      <c r="I203" s="632"/>
      <c r="J203" s="633"/>
      <c r="K203" s="633"/>
      <c r="L203" s="634"/>
      <c r="M203" s="253"/>
      <c r="N203" s="632"/>
      <c r="O203" s="633"/>
      <c r="P203" s="633"/>
      <c r="Q203" s="634"/>
      <c r="R203" s="253"/>
      <c r="S203" s="632"/>
      <c r="T203" s="633"/>
      <c r="U203" s="633"/>
      <c r="V203" s="634"/>
      <c r="W203" s="253"/>
      <c r="X203" s="632"/>
      <c r="Y203" s="633"/>
      <c r="Z203" s="633"/>
      <c r="AA203" s="634"/>
      <c r="AB203" s="219"/>
    </row>
    <row r="204" spans="1:28" ht="13.5" customHeight="1" x14ac:dyDescent="0.25">
      <c r="A204" s="219"/>
      <c r="B204" s="219"/>
      <c r="C204" s="219"/>
      <c r="D204" s="651" t="s">
        <v>565</v>
      </c>
      <c r="E204" s="652"/>
      <c r="F204" s="652"/>
      <c r="G204" s="653"/>
      <c r="H204" s="253"/>
      <c r="I204" s="845" t="s">
        <v>448</v>
      </c>
      <c r="J204" s="846"/>
      <c r="K204" s="846"/>
      <c r="L204" s="847"/>
      <c r="M204" s="253"/>
      <c r="N204" s="845" t="s">
        <v>303</v>
      </c>
      <c r="O204" s="846"/>
      <c r="P204" s="846"/>
      <c r="Q204" s="847"/>
      <c r="R204" s="253"/>
      <c r="S204" s="845" t="s">
        <v>566</v>
      </c>
      <c r="T204" s="846"/>
      <c r="U204" s="846"/>
      <c r="V204" s="847"/>
      <c r="W204" s="253"/>
      <c r="X204" s="845" t="s">
        <v>449</v>
      </c>
      <c r="Y204" s="846"/>
      <c r="Z204" s="846"/>
      <c r="AA204" s="847"/>
      <c r="AB204" s="219"/>
    </row>
    <row r="205" spans="1:28" ht="15.95" customHeight="1" x14ac:dyDescent="0.25">
      <c r="A205" s="219"/>
      <c r="B205" s="219"/>
      <c r="C205" s="219"/>
      <c r="D205" s="654">
        <v>0.95</v>
      </c>
      <c r="E205" s="655"/>
      <c r="F205" s="643">
        <v>0</v>
      </c>
      <c r="G205" s="644"/>
      <c r="H205" s="253"/>
      <c r="I205" s="654">
        <v>0.9</v>
      </c>
      <c r="J205" s="655"/>
      <c r="K205" s="643">
        <v>0</v>
      </c>
      <c r="L205" s="644"/>
      <c r="M205" s="253"/>
      <c r="N205" s="654">
        <v>0.85</v>
      </c>
      <c r="O205" s="655"/>
      <c r="P205" s="643">
        <v>0</v>
      </c>
      <c r="Q205" s="644"/>
      <c r="R205" s="253"/>
      <c r="S205" s="654">
        <v>0.95</v>
      </c>
      <c r="T205" s="655"/>
      <c r="U205" s="643">
        <v>0</v>
      </c>
      <c r="V205" s="644"/>
      <c r="W205" s="253"/>
      <c r="X205" s="654">
        <v>1</v>
      </c>
      <c r="Y205" s="655"/>
      <c r="Z205" s="643">
        <v>0</v>
      </c>
      <c r="AA205" s="644"/>
      <c r="AB205" s="219"/>
    </row>
    <row r="206" spans="1:28" s="386" customFormat="1" ht="16.149999999999999" customHeight="1" x14ac:dyDescent="0.2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5" customHeight="1" x14ac:dyDescent="0.2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">
      <c r="A208" s="219"/>
      <c r="B208" s="219"/>
      <c r="C208" s="219"/>
      <c r="D208" s="617"/>
      <c r="E208" s="618"/>
      <c r="F208" s="618"/>
      <c r="G208" s="619"/>
      <c r="H208" s="253"/>
      <c r="I208" s="617"/>
      <c r="J208" s="618"/>
      <c r="K208" s="618"/>
      <c r="L208" s="619"/>
      <c r="M208" s="253"/>
      <c r="N208" s="617"/>
      <c r="O208" s="618"/>
      <c r="P208" s="618"/>
      <c r="Q208" s="619"/>
      <c r="R208" s="253"/>
      <c r="S208" s="617"/>
      <c r="T208" s="618"/>
      <c r="U208" s="618"/>
      <c r="V208" s="619"/>
      <c r="W208" s="253"/>
      <c r="X208" s="617"/>
      <c r="Y208" s="618"/>
      <c r="Z208" s="618"/>
      <c r="AA208" s="619"/>
      <c r="AB208" s="219"/>
    </row>
    <row r="209" spans="1:28" ht="13.5" customHeight="1" x14ac:dyDescent="0.2">
      <c r="A209" s="219"/>
      <c r="B209" s="219"/>
      <c r="C209" s="219"/>
      <c r="D209" s="632"/>
      <c r="E209" s="633"/>
      <c r="F209" s="633"/>
      <c r="G209" s="634"/>
      <c r="H209" s="253"/>
      <c r="I209" s="632"/>
      <c r="J209" s="633"/>
      <c r="K209" s="633"/>
      <c r="L209" s="634"/>
      <c r="M209" s="253"/>
      <c r="N209" s="632"/>
      <c r="O209" s="633"/>
      <c r="P209" s="633"/>
      <c r="Q209" s="634"/>
      <c r="R209" s="253"/>
      <c r="S209" s="632"/>
      <c r="T209" s="633"/>
      <c r="U209" s="633"/>
      <c r="V209" s="634"/>
      <c r="W209" s="253"/>
      <c r="X209" s="632"/>
      <c r="Y209" s="633"/>
      <c r="Z209" s="633"/>
      <c r="AA209" s="634"/>
      <c r="AB209" s="219"/>
    </row>
    <row r="210" spans="1:28" ht="13.5" customHeight="1" x14ac:dyDescent="0.2">
      <c r="A210" s="219"/>
      <c r="B210" s="219"/>
      <c r="C210" s="219"/>
      <c r="D210" s="632"/>
      <c r="E210" s="633"/>
      <c r="F210" s="633"/>
      <c r="G210" s="634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">
      <c r="A211" s="219"/>
      <c r="B211" s="219"/>
      <c r="C211" s="219"/>
      <c r="D211" s="632"/>
      <c r="E211" s="633"/>
      <c r="F211" s="633"/>
      <c r="G211" s="634"/>
      <c r="H211" s="253"/>
      <c r="I211" s="632"/>
      <c r="J211" s="633"/>
      <c r="K211" s="633"/>
      <c r="L211" s="634"/>
      <c r="M211" s="253"/>
      <c r="N211" s="632"/>
      <c r="O211" s="633"/>
      <c r="P211" s="633"/>
      <c r="Q211" s="634"/>
      <c r="R211" s="253"/>
      <c r="S211" s="632"/>
      <c r="T211" s="633"/>
      <c r="U211" s="633"/>
      <c r="V211" s="634"/>
      <c r="W211" s="253"/>
      <c r="X211" s="632"/>
      <c r="Y211" s="633"/>
      <c r="Z211" s="633"/>
      <c r="AA211" s="634"/>
      <c r="AB211" s="219"/>
    </row>
    <row r="212" spans="1:28" ht="13.5" customHeight="1" x14ac:dyDescent="0.2">
      <c r="A212" s="219"/>
      <c r="B212" s="219"/>
      <c r="C212" s="219"/>
      <c r="D212" s="632"/>
      <c r="E212" s="633"/>
      <c r="F212" s="633"/>
      <c r="G212" s="634"/>
      <c r="H212" s="253"/>
      <c r="I212" s="632"/>
      <c r="J212" s="633"/>
      <c r="K212" s="633"/>
      <c r="L212" s="634"/>
      <c r="M212" s="253"/>
      <c r="N212" s="632"/>
      <c r="O212" s="633"/>
      <c r="P212" s="633"/>
      <c r="Q212" s="634"/>
      <c r="R212" s="253"/>
      <c r="S212" s="632"/>
      <c r="T212" s="633"/>
      <c r="U212" s="633"/>
      <c r="V212" s="634"/>
      <c r="W212" s="253"/>
      <c r="X212" s="632"/>
      <c r="Y212" s="633"/>
      <c r="Z212" s="633"/>
      <c r="AA212" s="634"/>
      <c r="AB212" s="219"/>
    </row>
    <row r="213" spans="1:28" ht="13.5" customHeight="1" x14ac:dyDescent="0.2">
      <c r="A213" s="219"/>
      <c r="B213" s="219"/>
      <c r="C213" s="219"/>
      <c r="D213" s="632"/>
      <c r="E213" s="633"/>
      <c r="F213" s="633"/>
      <c r="G213" s="634"/>
      <c r="H213" s="253"/>
      <c r="I213" s="632"/>
      <c r="J213" s="633"/>
      <c r="K213" s="633"/>
      <c r="L213" s="634"/>
      <c r="M213" s="253"/>
      <c r="N213" s="632"/>
      <c r="O213" s="633"/>
      <c r="P213" s="633"/>
      <c r="Q213" s="634"/>
      <c r="R213" s="253"/>
      <c r="S213" s="632"/>
      <c r="T213" s="633"/>
      <c r="U213" s="633"/>
      <c r="V213" s="634"/>
      <c r="W213" s="253"/>
      <c r="X213" s="632"/>
      <c r="Y213" s="633"/>
      <c r="Z213" s="633"/>
      <c r="AA213" s="634"/>
      <c r="AB213" s="219"/>
    </row>
    <row r="214" spans="1:28" ht="13.5" customHeight="1" x14ac:dyDescent="0.25">
      <c r="A214" s="219"/>
      <c r="B214" s="219"/>
      <c r="C214" s="219"/>
      <c r="D214" s="651" t="s">
        <v>450</v>
      </c>
      <c r="E214" s="652"/>
      <c r="F214" s="652"/>
      <c r="G214" s="653"/>
      <c r="H214" s="253"/>
      <c r="I214" s="651" t="s">
        <v>451</v>
      </c>
      <c r="J214" s="652"/>
      <c r="K214" s="652"/>
      <c r="L214" s="653"/>
      <c r="M214" s="253"/>
      <c r="N214" s="651" t="s">
        <v>452</v>
      </c>
      <c r="O214" s="652"/>
      <c r="P214" s="652"/>
      <c r="Q214" s="653"/>
      <c r="R214" s="253"/>
      <c r="S214" s="651" t="s">
        <v>914</v>
      </c>
      <c r="T214" s="652"/>
      <c r="U214" s="652"/>
      <c r="V214" s="653"/>
      <c r="W214" s="253"/>
      <c r="X214" s="651" t="s">
        <v>915</v>
      </c>
      <c r="Y214" s="652"/>
      <c r="Z214" s="652"/>
      <c r="AA214" s="653"/>
      <c r="AB214" s="219"/>
    </row>
    <row r="215" spans="1:28" ht="15.95" customHeight="1" x14ac:dyDescent="0.25">
      <c r="A215" s="219"/>
      <c r="B215" s="219"/>
      <c r="C215" s="219"/>
      <c r="D215" s="654">
        <v>1</v>
      </c>
      <c r="E215" s="655"/>
      <c r="F215" s="643">
        <v>0</v>
      </c>
      <c r="G215" s="644"/>
      <c r="H215" s="253"/>
      <c r="I215" s="656">
        <v>0.92</v>
      </c>
      <c r="J215" s="657"/>
      <c r="K215" s="883">
        <v>0</v>
      </c>
      <c r="L215" s="884"/>
      <c r="M215" s="253"/>
      <c r="N215" s="656">
        <v>0.92</v>
      </c>
      <c r="O215" s="657"/>
      <c r="P215" s="883">
        <v>0</v>
      </c>
      <c r="Q215" s="884"/>
      <c r="R215" s="253"/>
      <c r="S215" s="656">
        <v>1.05</v>
      </c>
      <c r="T215" s="657"/>
      <c r="U215" s="883">
        <v>0</v>
      </c>
      <c r="V215" s="884"/>
      <c r="W215" s="253"/>
      <c r="X215" s="656">
        <v>1.1000000000000001</v>
      </c>
      <c r="Y215" s="657"/>
      <c r="Z215" s="883">
        <v>0</v>
      </c>
      <c r="AA215" s="884"/>
      <c r="AB215" s="219"/>
    </row>
    <row r="216" spans="1:28" s="386" customFormat="1" ht="16.149999999999999" customHeight="1" x14ac:dyDescent="0.2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149999999999999" customHeight="1" x14ac:dyDescent="0.2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149999999999999" customHeight="1" x14ac:dyDescent="0.2">
      <c r="A218" s="384"/>
      <c r="B218" s="384"/>
      <c r="C218" s="384"/>
      <c r="D218" s="617"/>
      <c r="E218" s="618"/>
      <c r="F218" s="618"/>
      <c r="G218" s="619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149999999999999" customHeight="1" x14ac:dyDescent="0.2">
      <c r="A219" s="384"/>
      <c r="B219" s="384"/>
      <c r="C219" s="384"/>
      <c r="D219" s="632"/>
      <c r="E219" s="633"/>
      <c r="F219" s="633"/>
      <c r="G219" s="634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149999999999999" customHeight="1" x14ac:dyDescent="0.2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149999999999999" customHeight="1" x14ac:dyDescent="0.2">
      <c r="A221" s="384"/>
      <c r="B221" s="384"/>
      <c r="C221" s="384"/>
      <c r="D221" s="632"/>
      <c r="E221" s="633"/>
      <c r="F221" s="633"/>
      <c r="G221" s="634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149999999999999" customHeight="1" x14ac:dyDescent="0.2">
      <c r="A222" s="384"/>
      <c r="B222" s="384"/>
      <c r="C222" s="384"/>
      <c r="D222" s="632"/>
      <c r="E222" s="633"/>
      <c r="F222" s="633"/>
      <c r="G222" s="634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149999999999999" customHeight="1" x14ac:dyDescent="0.2">
      <c r="A223" s="384"/>
      <c r="B223" s="384"/>
      <c r="C223" s="384"/>
      <c r="D223" s="632"/>
      <c r="E223" s="633"/>
      <c r="F223" s="633"/>
      <c r="G223" s="634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149999999999999" customHeight="1" x14ac:dyDescent="0.25">
      <c r="A224" s="384"/>
      <c r="B224" s="384"/>
      <c r="C224" s="384"/>
      <c r="D224" s="651" t="s">
        <v>304</v>
      </c>
      <c r="E224" s="652"/>
      <c r="F224" s="652"/>
      <c r="G224" s="653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149999999999999" customHeight="1" x14ac:dyDescent="0.25">
      <c r="A225" s="384"/>
      <c r="B225" s="384"/>
      <c r="C225" s="384"/>
      <c r="D225" s="656">
        <v>1.22</v>
      </c>
      <c r="E225" s="657"/>
      <c r="F225" s="883">
        <v>0</v>
      </c>
      <c r="G225" s="884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149999999999999" customHeight="1" x14ac:dyDescent="0.2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25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">
      <c r="A228" s="246"/>
      <c r="B228" s="232"/>
      <c r="C228" s="232"/>
      <c r="D228" s="843" t="s">
        <v>593</v>
      </c>
      <c r="E228" s="843"/>
      <c r="F228" s="843"/>
      <c r="G228" s="843"/>
      <c r="H228" s="843"/>
      <c r="I228" s="843"/>
      <c r="J228" s="843"/>
      <c r="K228" s="843"/>
      <c r="L228" s="843"/>
      <c r="M228" s="843"/>
      <c r="N228" s="843"/>
      <c r="O228" s="843"/>
      <c r="P228" s="843"/>
      <c r="Q228" s="843"/>
      <c r="R228" s="843"/>
      <c r="S228" s="843"/>
      <c r="T228" s="843"/>
      <c r="U228" s="843"/>
      <c r="V228" s="843"/>
      <c r="W228" s="843"/>
      <c r="X228" s="843"/>
      <c r="Y228" s="843"/>
      <c r="Z228" s="843"/>
      <c r="AA228" s="843"/>
      <c r="AB228" s="232"/>
    </row>
    <row r="229" spans="1:28" ht="27" customHeight="1" x14ac:dyDescent="0.3">
      <c r="A229" s="219"/>
      <c r="B229" s="219"/>
      <c r="C229" s="219"/>
      <c r="D229" s="885" t="s">
        <v>279</v>
      </c>
      <c r="E229" s="885"/>
      <c r="F229" s="885"/>
      <c r="G229" s="885"/>
      <c r="H229" s="885"/>
      <c r="I229" s="885"/>
      <c r="J229" s="885"/>
      <c r="K229" s="885"/>
      <c r="L229" s="885"/>
      <c r="M229" s="885"/>
      <c r="N229" s="885"/>
      <c r="O229" s="885"/>
      <c r="P229" s="885"/>
      <c r="Q229" s="885"/>
      <c r="R229" s="885"/>
      <c r="S229" s="885"/>
      <c r="T229" s="885"/>
      <c r="U229" s="885"/>
      <c r="V229" s="885"/>
      <c r="W229" s="885"/>
      <c r="X229" s="885"/>
      <c r="Y229" s="885"/>
      <c r="Z229" s="885"/>
      <c r="AA229" s="885"/>
      <c r="AB229" s="343"/>
    </row>
    <row r="230" spans="1:28" s="167" customFormat="1" ht="18.75" x14ac:dyDescent="0.3">
      <c r="A230" s="374"/>
      <c r="B230" s="219"/>
      <c r="C230" s="219"/>
      <c r="D230" s="617"/>
      <c r="E230" s="618"/>
      <c r="F230" s="618"/>
      <c r="G230" s="619"/>
      <c r="H230" s="253"/>
      <c r="I230" s="617"/>
      <c r="J230" s="618"/>
      <c r="K230" s="618"/>
      <c r="L230" s="619"/>
      <c r="M230" s="253"/>
      <c r="N230" s="617"/>
      <c r="O230" s="618"/>
      <c r="P230" s="618"/>
      <c r="Q230" s="619"/>
      <c r="R230" s="253"/>
      <c r="S230" s="617"/>
      <c r="T230" s="618"/>
      <c r="U230" s="618"/>
      <c r="V230" s="619"/>
      <c r="W230" s="253"/>
      <c r="X230" s="617"/>
      <c r="Y230" s="618"/>
      <c r="Z230" s="618"/>
      <c r="AA230" s="619"/>
      <c r="AB230" s="219"/>
    </row>
    <row r="231" spans="1:28" ht="13.5" customHeight="1" x14ac:dyDescent="0.2">
      <c r="A231" s="219"/>
      <c r="B231" s="219"/>
      <c r="C231" s="219"/>
      <c r="D231" s="632"/>
      <c r="E231" s="633"/>
      <c r="F231" s="633"/>
      <c r="G231" s="634"/>
      <c r="H231" s="253"/>
      <c r="I231" s="632"/>
      <c r="J231" s="633"/>
      <c r="K231" s="633"/>
      <c r="L231" s="634"/>
      <c r="M231" s="253"/>
      <c r="N231" s="632"/>
      <c r="O231" s="633"/>
      <c r="P231" s="633"/>
      <c r="Q231" s="634"/>
      <c r="R231" s="253"/>
      <c r="S231" s="632"/>
      <c r="T231" s="633"/>
      <c r="U231" s="633"/>
      <c r="V231" s="634"/>
      <c r="W231" s="253"/>
      <c r="X231" s="632"/>
      <c r="Y231" s="633"/>
      <c r="Z231" s="633"/>
      <c r="AA231" s="634"/>
      <c r="AB231" s="219"/>
    </row>
    <row r="232" spans="1:28" ht="14.25" x14ac:dyDescent="0.2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4.25" x14ac:dyDescent="0.2">
      <c r="A233" s="219"/>
      <c r="B233" s="219"/>
      <c r="C233" s="219"/>
      <c r="D233" s="632"/>
      <c r="E233" s="633"/>
      <c r="F233" s="633"/>
      <c r="G233" s="634"/>
      <c r="H233" s="253"/>
      <c r="I233" s="632"/>
      <c r="J233" s="633"/>
      <c r="K233" s="633"/>
      <c r="L233" s="634"/>
      <c r="M233" s="253"/>
      <c r="N233" s="632"/>
      <c r="O233" s="633"/>
      <c r="P233" s="633"/>
      <c r="Q233" s="634"/>
      <c r="R233" s="253"/>
      <c r="S233" s="632"/>
      <c r="T233" s="633"/>
      <c r="U233" s="633"/>
      <c r="V233" s="634"/>
      <c r="W233" s="253"/>
      <c r="X233" s="632"/>
      <c r="Y233" s="633"/>
      <c r="Z233" s="633"/>
      <c r="AA233" s="634"/>
      <c r="AB233" s="219"/>
    </row>
    <row r="234" spans="1:28" ht="14.25" x14ac:dyDescent="0.2">
      <c r="A234" s="219"/>
      <c r="B234" s="219"/>
      <c r="C234" s="219"/>
      <c r="D234" s="632"/>
      <c r="E234" s="633"/>
      <c r="F234" s="633"/>
      <c r="G234" s="634"/>
      <c r="H234" s="253"/>
      <c r="I234" s="632"/>
      <c r="J234" s="633"/>
      <c r="K234" s="633"/>
      <c r="L234" s="634"/>
      <c r="M234" s="253"/>
      <c r="N234" s="632"/>
      <c r="O234" s="633"/>
      <c r="P234" s="633"/>
      <c r="Q234" s="634"/>
      <c r="R234" s="253"/>
      <c r="S234" s="632"/>
      <c r="T234" s="633"/>
      <c r="U234" s="633"/>
      <c r="V234" s="634"/>
      <c r="W234" s="253"/>
      <c r="X234" s="632"/>
      <c r="Y234" s="633"/>
      <c r="Z234" s="633"/>
      <c r="AA234" s="634"/>
      <c r="AB234" s="219"/>
    </row>
    <row r="235" spans="1:28" ht="14.25" x14ac:dyDescent="0.2">
      <c r="A235" s="219"/>
      <c r="B235" s="219"/>
      <c r="C235" s="219"/>
      <c r="D235" s="596"/>
      <c r="E235" s="597"/>
      <c r="F235" s="597"/>
      <c r="G235" s="598"/>
      <c r="H235" s="253"/>
      <c r="I235" s="596"/>
      <c r="J235" s="597"/>
      <c r="K235" s="597"/>
      <c r="L235" s="598"/>
      <c r="M235" s="253"/>
      <c r="N235" s="596"/>
      <c r="O235" s="597"/>
      <c r="P235" s="597"/>
      <c r="Q235" s="598"/>
      <c r="R235" s="253"/>
      <c r="S235" s="596"/>
      <c r="T235" s="597"/>
      <c r="U235" s="597"/>
      <c r="V235" s="598"/>
      <c r="W235" s="253"/>
      <c r="X235" s="596"/>
      <c r="Y235" s="597"/>
      <c r="Z235" s="597"/>
      <c r="AA235" s="598"/>
      <c r="AB235" s="219"/>
    </row>
    <row r="236" spans="1:28" ht="15" x14ac:dyDescent="0.25">
      <c r="A236" s="219"/>
      <c r="B236" s="219"/>
      <c r="C236" s="219"/>
      <c r="D236" s="620" t="s">
        <v>305</v>
      </c>
      <c r="E236" s="621"/>
      <c r="F236" s="621"/>
      <c r="G236" s="622"/>
      <c r="H236" s="253"/>
      <c r="I236" s="620" t="s">
        <v>306</v>
      </c>
      <c r="J236" s="621"/>
      <c r="K236" s="621"/>
      <c r="L236" s="622"/>
      <c r="M236" s="253"/>
      <c r="N236" s="620" t="s">
        <v>307</v>
      </c>
      <c r="O236" s="621"/>
      <c r="P236" s="621"/>
      <c r="Q236" s="622"/>
      <c r="R236" s="253"/>
      <c r="S236" s="620" t="s">
        <v>309</v>
      </c>
      <c r="T236" s="621"/>
      <c r="U236" s="621"/>
      <c r="V236" s="622"/>
      <c r="W236" s="253"/>
      <c r="X236" s="620" t="s">
        <v>310</v>
      </c>
      <c r="Y236" s="621"/>
      <c r="Z236" s="621"/>
      <c r="AA236" s="622"/>
      <c r="AB236" s="219"/>
    </row>
    <row r="237" spans="1:28" ht="13.5" customHeight="1" x14ac:dyDescent="0.2">
      <c r="A237" s="219"/>
      <c r="B237" s="226"/>
      <c r="C237" s="226"/>
      <c r="D237" s="659" t="s">
        <v>588</v>
      </c>
      <c r="E237" s="659"/>
      <c r="F237" s="659"/>
      <c r="G237" s="659"/>
      <c r="H237" s="266"/>
      <c r="I237" s="677" t="s">
        <v>587</v>
      </c>
      <c r="J237" s="660"/>
      <c r="K237" s="660"/>
      <c r="L237" s="661"/>
      <c r="M237" s="266"/>
      <c r="N237" s="880" t="s">
        <v>586</v>
      </c>
      <c r="O237" s="881"/>
      <c r="P237" s="881"/>
      <c r="Q237" s="882"/>
      <c r="R237" s="266"/>
      <c r="S237" s="677" t="s">
        <v>585</v>
      </c>
      <c r="T237" s="660"/>
      <c r="U237" s="660"/>
      <c r="V237" s="661"/>
      <c r="W237" s="266"/>
      <c r="X237" s="677" t="s">
        <v>584</v>
      </c>
      <c r="Y237" s="660"/>
      <c r="Z237" s="660"/>
      <c r="AA237" s="661"/>
      <c r="AB237" s="226"/>
    </row>
    <row r="238" spans="1:28" ht="13.5" customHeight="1" x14ac:dyDescent="0.25">
      <c r="A238" s="219"/>
      <c r="B238" s="247"/>
      <c r="C238" s="247"/>
      <c r="D238" s="639" t="s">
        <v>610</v>
      </c>
      <c r="E238" s="640"/>
      <c r="F238" s="640"/>
      <c r="G238" s="641"/>
      <c r="H238" s="261"/>
      <c r="I238" s="639" t="s">
        <v>612</v>
      </c>
      <c r="J238" s="640"/>
      <c r="K238" s="640"/>
      <c r="L238" s="641"/>
      <c r="M238" s="261"/>
      <c r="N238" s="639" t="s">
        <v>613</v>
      </c>
      <c r="O238" s="640"/>
      <c r="P238" s="640"/>
      <c r="Q238" s="641"/>
      <c r="R238" s="261"/>
      <c r="S238" s="639" t="s">
        <v>614</v>
      </c>
      <c r="T238" s="640"/>
      <c r="U238" s="640"/>
      <c r="V238" s="641"/>
      <c r="W238" s="261"/>
      <c r="X238" s="639" t="s">
        <v>633</v>
      </c>
      <c r="Y238" s="640"/>
      <c r="Z238" s="640"/>
      <c r="AA238" s="641"/>
      <c r="AB238" s="247"/>
    </row>
    <row r="239" spans="1:28" s="174" customFormat="1" ht="16.149999999999999" customHeight="1" thickBot="1" x14ac:dyDescent="0.3">
      <c r="A239" s="221"/>
      <c r="B239" s="219"/>
      <c r="C239" s="219"/>
      <c r="D239" s="635">
        <f>(D185*2)+D407+I407</f>
        <v>1.62</v>
      </c>
      <c r="E239" s="636"/>
      <c r="F239" s="637">
        <v>0</v>
      </c>
      <c r="G239" s="638"/>
      <c r="H239" s="253"/>
      <c r="I239" s="635">
        <f>I185+N185+(D407*2)+(I407*2)</f>
        <v>2.71</v>
      </c>
      <c r="J239" s="636"/>
      <c r="K239" s="637">
        <v>0</v>
      </c>
      <c r="L239" s="638"/>
      <c r="M239" s="253"/>
      <c r="N239" s="635">
        <f>(I185*2)+S185+(D407*3)+(I407*3)</f>
        <v>3.91</v>
      </c>
      <c r="O239" s="636"/>
      <c r="P239" s="637">
        <v>0</v>
      </c>
      <c r="Q239" s="638"/>
      <c r="R239" s="253"/>
      <c r="S239" s="635">
        <f>(S185*2)+(D407*2)+(I407*2)</f>
        <v>2.5000000000000004</v>
      </c>
      <c r="T239" s="636"/>
      <c r="U239" s="637">
        <v>0</v>
      </c>
      <c r="V239" s="638"/>
      <c r="W239" s="253"/>
      <c r="X239" s="635">
        <f>(I185*4)+(D407*4)+(I407*4)</f>
        <v>5.32</v>
      </c>
      <c r="Y239" s="636"/>
      <c r="Z239" s="637">
        <v>0</v>
      </c>
      <c r="AA239" s="638"/>
      <c r="AB239" s="219"/>
    </row>
    <row r="240" spans="1:28" s="173" customFormat="1" ht="10.15" customHeight="1" x14ac:dyDescent="0.2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">
      <c r="A241" s="220"/>
      <c r="B241" s="219"/>
      <c r="C241" s="219"/>
      <c r="D241" s="617"/>
      <c r="E241" s="618"/>
      <c r="F241" s="618"/>
      <c r="G241" s="619"/>
      <c r="H241" s="253"/>
      <c r="I241" s="617"/>
      <c r="J241" s="618"/>
      <c r="K241" s="618"/>
      <c r="L241" s="619"/>
      <c r="M241" s="253"/>
      <c r="N241" s="617"/>
      <c r="O241" s="618"/>
      <c r="P241" s="618"/>
      <c r="Q241" s="619"/>
      <c r="R241" s="253"/>
      <c r="S241" s="617"/>
      <c r="T241" s="618"/>
      <c r="U241" s="618"/>
      <c r="V241" s="619"/>
      <c r="W241" s="253"/>
      <c r="X241" s="617"/>
      <c r="Y241" s="618"/>
      <c r="Z241" s="618"/>
      <c r="AA241" s="619"/>
      <c r="AB241" s="219"/>
    </row>
    <row r="242" spans="1:28" ht="14.25" x14ac:dyDescent="0.2">
      <c r="A242" s="219"/>
      <c r="B242" s="219"/>
      <c r="C242" s="219"/>
      <c r="D242" s="632"/>
      <c r="E242" s="633"/>
      <c r="F242" s="633"/>
      <c r="G242" s="634"/>
      <c r="H242" s="253"/>
      <c r="I242" s="632"/>
      <c r="J242" s="633"/>
      <c r="K242" s="633"/>
      <c r="L242" s="634"/>
      <c r="M242" s="253"/>
      <c r="N242" s="632"/>
      <c r="O242" s="633"/>
      <c r="P242" s="633"/>
      <c r="Q242" s="634"/>
      <c r="R242" s="253"/>
      <c r="S242" s="632"/>
      <c r="T242" s="633"/>
      <c r="U242" s="633"/>
      <c r="V242" s="634"/>
      <c r="W242" s="253"/>
      <c r="X242" s="632"/>
      <c r="Y242" s="633"/>
      <c r="Z242" s="633"/>
      <c r="AA242" s="634"/>
      <c r="AB242" s="219"/>
    </row>
    <row r="243" spans="1:28" ht="14.25" x14ac:dyDescent="0.2">
      <c r="A243" s="219"/>
      <c r="B243" s="219"/>
      <c r="C243" s="219"/>
      <c r="D243" s="632"/>
      <c r="E243" s="633"/>
      <c r="F243" s="633"/>
      <c r="G243" s="634"/>
      <c r="H243" s="253"/>
      <c r="I243" s="632"/>
      <c r="J243" s="633"/>
      <c r="K243" s="633"/>
      <c r="L243" s="634"/>
      <c r="M243" s="253"/>
      <c r="N243" s="632"/>
      <c r="O243" s="633"/>
      <c r="P243" s="633"/>
      <c r="Q243" s="634"/>
      <c r="R243" s="253"/>
      <c r="S243" s="632"/>
      <c r="T243" s="633"/>
      <c r="U243" s="633"/>
      <c r="V243" s="634"/>
      <c r="W243" s="253"/>
      <c r="X243" s="632"/>
      <c r="Y243" s="633"/>
      <c r="Z243" s="633"/>
      <c r="AA243" s="634"/>
      <c r="AB243" s="219"/>
    </row>
    <row r="244" spans="1:28" ht="14.25" x14ac:dyDescent="0.2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2"/>
      <c r="Y244" s="633"/>
      <c r="Z244" s="633"/>
      <c r="AA244" s="634"/>
      <c r="AB244" s="219"/>
    </row>
    <row r="245" spans="1:28" ht="14.25" x14ac:dyDescent="0.2">
      <c r="A245" s="219"/>
      <c r="B245" s="219"/>
      <c r="C245" s="219"/>
      <c r="D245" s="632"/>
      <c r="E245" s="633"/>
      <c r="F245" s="633"/>
      <c r="G245" s="634"/>
      <c r="H245" s="253"/>
      <c r="I245" s="632"/>
      <c r="J245" s="633"/>
      <c r="K245" s="633"/>
      <c r="L245" s="634"/>
      <c r="M245" s="253"/>
      <c r="N245" s="632"/>
      <c r="O245" s="633"/>
      <c r="P245" s="633"/>
      <c r="Q245" s="634"/>
      <c r="R245" s="253"/>
      <c r="S245" s="632"/>
      <c r="T245" s="633"/>
      <c r="U245" s="633"/>
      <c r="V245" s="634"/>
      <c r="W245" s="253"/>
      <c r="X245" s="632"/>
      <c r="Y245" s="633"/>
      <c r="Z245" s="633"/>
      <c r="AA245" s="634"/>
      <c r="AB245" s="219"/>
    </row>
    <row r="246" spans="1:28" ht="13.5" customHeight="1" x14ac:dyDescent="0.2">
      <c r="A246" s="219"/>
      <c r="B246" s="219"/>
      <c r="C246" s="219"/>
      <c r="D246" s="596"/>
      <c r="E246" s="597"/>
      <c r="F246" s="597"/>
      <c r="G246" s="598"/>
      <c r="H246" s="253"/>
      <c r="I246" s="596"/>
      <c r="J246" s="597"/>
      <c r="K246" s="597"/>
      <c r="L246" s="598"/>
      <c r="M246" s="253"/>
      <c r="N246" s="596"/>
      <c r="O246" s="597"/>
      <c r="P246" s="597"/>
      <c r="Q246" s="598"/>
      <c r="R246" s="253"/>
      <c r="S246" s="596"/>
      <c r="T246" s="597"/>
      <c r="U246" s="597"/>
      <c r="V246" s="598"/>
      <c r="W246" s="253"/>
      <c r="X246" s="596"/>
      <c r="Y246" s="597"/>
      <c r="Z246" s="597"/>
      <c r="AA246" s="598"/>
      <c r="AB246" s="219"/>
    </row>
    <row r="247" spans="1:28" ht="15" x14ac:dyDescent="0.25">
      <c r="A247" s="219"/>
      <c r="B247" s="219"/>
      <c r="C247" s="219"/>
      <c r="D247" s="620" t="s">
        <v>314</v>
      </c>
      <c r="E247" s="621"/>
      <c r="F247" s="621"/>
      <c r="G247" s="622"/>
      <c r="H247" s="253"/>
      <c r="I247" s="757" t="s">
        <v>581</v>
      </c>
      <c r="J247" s="758"/>
      <c r="K247" s="758"/>
      <c r="L247" s="759"/>
      <c r="M247" s="253"/>
      <c r="N247" s="620" t="s">
        <v>313</v>
      </c>
      <c r="O247" s="621"/>
      <c r="P247" s="621"/>
      <c r="Q247" s="622"/>
      <c r="R247" s="253"/>
      <c r="S247" s="757" t="s">
        <v>579</v>
      </c>
      <c r="T247" s="758"/>
      <c r="U247" s="758"/>
      <c r="V247" s="759"/>
      <c r="W247" s="253"/>
      <c r="X247" s="620" t="s">
        <v>571</v>
      </c>
      <c r="Y247" s="621"/>
      <c r="Z247" s="621"/>
      <c r="AA247" s="622"/>
      <c r="AB247" s="219"/>
    </row>
    <row r="248" spans="1:28" ht="13.5" customHeight="1" x14ac:dyDescent="0.2">
      <c r="A248" s="219"/>
      <c r="B248" s="246"/>
      <c r="C248" s="246"/>
      <c r="D248" s="673" t="s">
        <v>583</v>
      </c>
      <c r="E248" s="674"/>
      <c r="F248" s="674"/>
      <c r="G248" s="675"/>
      <c r="H248" s="266"/>
      <c r="I248" s="673" t="s">
        <v>582</v>
      </c>
      <c r="J248" s="674"/>
      <c r="K248" s="674"/>
      <c r="L248" s="675"/>
      <c r="M248" s="266"/>
      <c r="N248" s="677" t="s">
        <v>289</v>
      </c>
      <c r="O248" s="660"/>
      <c r="P248" s="660"/>
      <c r="Q248" s="661"/>
      <c r="R248" s="266"/>
      <c r="S248" s="677" t="s">
        <v>580</v>
      </c>
      <c r="T248" s="660"/>
      <c r="U248" s="660"/>
      <c r="V248" s="661"/>
      <c r="W248" s="266"/>
      <c r="X248" s="804" t="s">
        <v>572</v>
      </c>
      <c r="Y248" s="805"/>
      <c r="Z248" s="805"/>
      <c r="AA248" s="806"/>
      <c r="AB248" s="246"/>
    </row>
    <row r="249" spans="1:28" ht="13.5" customHeight="1" x14ac:dyDescent="0.25">
      <c r="A249" s="219"/>
      <c r="B249" s="247"/>
      <c r="C249" s="247"/>
      <c r="D249" s="639" t="s">
        <v>621</v>
      </c>
      <c r="E249" s="640"/>
      <c r="F249" s="640"/>
      <c r="G249" s="641"/>
      <c r="H249" s="261"/>
      <c r="I249" s="639" t="s">
        <v>622</v>
      </c>
      <c r="J249" s="640"/>
      <c r="K249" s="660"/>
      <c r="L249" s="661"/>
      <c r="M249" s="261"/>
      <c r="N249" s="639" t="s">
        <v>615</v>
      </c>
      <c r="O249" s="640"/>
      <c r="P249" s="640"/>
      <c r="Q249" s="641"/>
      <c r="R249" s="261"/>
      <c r="S249" s="639" t="s">
        <v>616</v>
      </c>
      <c r="T249" s="640"/>
      <c r="U249" s="640"/>
      <c r="V249" s="641"/>
      <c r="W249" s="261"/>
      <c r="X249" s="639" t="s">
        <v>617</v>
      </c>
      <c r="Y249" s="640"/>
      <c r="Z249" s="660"/>
      <c r="AA249" s="661"/>
      <c r="AB249" s="247"/>
    </row>
    <row r="250" spans="1:28" s="173" customFormat="1" ht="16.149999999999999" customHeight="1" thickBot="1" x14ac:dyDescent="0.3">
      <c r="A250" s="220"/>
      <c r="B250" s="219"/>
      <c r="C250" s="219"/>
      <c r="D250" s="635">
        <f>(X185*2)+(D195*2)+(D407*2)+(I407*2)</f>
        <v>3.16</v>
      </c>
      <c r="E250" s="636"/>
      <c r="F250" s="637">
        <v>0</v>
      </c>
      <c r="G250" s="638"/>
      <c r="H250" s="253"/>
      <c r="I250" s="635">
        <f>(I195*2)+(D195*2)+(D407*3)+(I407*3)</f>
        <v>3.84</v>
      </c>
      <c r="J250" s="636"/>
      <c r="K250" s="637">
        <v>0</v>
      </c>
      <c r="L250" s="638"/>
      <c r="M250" s="253"/>
      <c r="N250" s="635">
        <f>(N195*2)+I407+D407</f>
        <v>1.7000000000000002</v>
      </c>
      <c r="O250" s="636"/>
      <c r="P250" s="637">
        <v>0</v>
      </c>
      <c r="Q250" s="638"/>
      <c r="R250" s="253"/>
      <c r="S250" s="623">
        <f>(S195*2)+D407+I407</f>
        <v>2</v>
      </c>
      <c r="T250" s="773"/>
      <c r="U250" s="671">
        <v>0</v>
      </c>
      <c r="V250" s="672"/>
      <c r="W250" s="253"/>
      <c r="X250" s="635">
        <f>X195+D205+D407+I407</f>
        <v>2.08</v>
      </c>
      <c r="Y250" s="636"/>
      <c r="Z250" s="637">
        <v>0</v>
      </c>
      <c r="AA250" s="638"/>
      <c r="AB250" s="219"/>
    </row>
    <row r="251" spans="1:28" s="173" customFormat="1" ht="10.15" customHeight="1" x14ac:dyDescent="0.2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">
      <c r="A252" s="220"/>
      <c r="B252" s="219"/>
      <c r="C252" s="219"/>
      <c r="D252" s="617"/>
      <c r="E252" s="618"/>
      <c r="F252" s="618"/>
      <c r="G252" s="619"/>
      <c r="H252" s="253"/>
      <c r="I252" s="617"/>
      <c r="J252" s="618"/>
      <c r="K252" s="618"/>
      <c r="L252" s="619"/>
      <c r="M252" s="253"/>
      <c r="N252" s="617"/>
      <c r="O252" s="618"/>
      <c r="P252" s="618"/>
      <c r="Q252" s="619"/>
      <c r="R252" s="253"/>
      <c r="S252" s="617"/>
      <c r="T252" s="618"/>
      <c r="U252" s="618"/>
      <c r="V252" s="619"/>
      <c r="W252" s="253"/>
      <c r="X252" s="617"/>
      <c r="Y252" s="618"/>
      <c r="Z252" s="618"/>
      <c r="AA252" s="619"/>
      <c r="AB252" s="219"/>
    </row>
    <row r="253" spans="1:28" s="173" customFormat="1" ht="13.5" customHeight="1" x14ac:dyDescent="0.2">
      <c r="A253" s="220"/>
      <c r="B253" s="219"/>
      <c r="C253" s="219"/>
      <c r="D253" s="632"/>
      <c r="E253" s="633"/>
      <c r="F253" s="633"/>
      <c r="G253" s="634"/>
      <c r="H253" s="253"/>
      <c r="I253" s="632"/>
      <c r="J253" s="633"/>
      <c r="K253" s="633"/>
      <c r="L253" s="634"/>
      <c r="M253" s="253"/>
      <c r="N253" s="632"/>
      <c r="O253" s="633"/>
      <c r="P253" s="633"/>
      <c r="Q253" s="634"/>
      <c r="R253" s="253"/>
      <c r="S253" s="632"/>
      <c r="T253" s="633"/>
      <c r="U253" s="633"/>
      <c r="V253" s="634"/>
      <c r="W253" s="253"/>
      <c r="X253" s="632"/>
      <c r="Y253" s="633"/>
      <c r="Z253" s="633"/>
      <c r="AA253" s="634"/>
      <c r="AB253" s="219"/>
    </row>
    <row r="254" spans="1:28" s="173" customFormat="1" ht="13.5" customHeight="1" x14ac:dyDescent="0.2">
      <c r="A254" s="220"/>
      <c r="B254" s="219"/>
      <c r="C254" s="219"/>
      <c r="D254" s="632"/>
      <c r="E254" s="633"/>
      <c r="F254" s="633"/>
      <c r="G254" s="634"/>
      <c r="H254" s="253"/>
      <c r="I254" s="632"/>
      <c r="J254" s="633"/>
      <c r="K254" s="633"/>
      <c r="L254" s="634"/>
      <c r="M254" s="253"/>
      <c r="N254" s="632"/>
      <c r="O254" s="633"/>
      <c r="P254" s="633"/>
      <c r="Q254" s="634"/>
      <c r="R254" s="253"/>
      <c r="S254" s="632"/>
      <c r="T254" s="633"/>
      <c r="U254" s="633"/>
      <c r="V254" s="634"/>
      <c r="W254" s="253"/>
      <c r="X254" s="632"/>
      <c r="Y254" s="633"/>
      <c r="Z254" s="633"/>
      <c r="AA254" s="634"/>
      <c r="AB254" s="219"/>
    </row>
    <row r="255" spans="1:28" s="173" customFormat="1" ht="13.5" customHeight="1" x14ac:dyDescent="0.2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2"/>
      <c r="Y255" s="633"/>
      <c r="Z255" s="633"/>
      <c r="AA255" s="634"/>
      <c r="AB255" s="219"/>
    </row>
    <row r="256" spans="1:28" s="173" customFormat="1" ht="13.5" customHeight="1" x14ac:dyDescent="0.2">
      <c r="A256" s="220"/>
      <c r="B256" s="219"/>
      <c r="C256" s="219"/>
      <c r="D256" s="632"/>
      <c r="E256" s="633"/>
      <c r="F256" s="633"/>
      <c r="G256" s="634"/>
      <c r="H256" s="253"/>
      <c r="I256" s="632"/>
      <c r="J256" s="633"/>
      <c r="K256" s="633"/>
      <c r="L256" s="634"/>
      <c r="M256" s="253"/>
      <c r="N256" s="632"/>
      <c r="O256" s="633"/>
      <c r="P256" s="633"/>
      <c r="Q256" s="634"/>
      <c r="R256" s="253"/>
      <c r="S256" s="632"/>
      <c r="T256" s="633"/>
      <c r="U256" s="633"/>
      <c r="V256" s="634"/>
      <c r="W256" s="253"/>
      <c r="X256" s="632"/>
      <c r="Y256" s="633"/>
      <c r="Z256" s="633"/>
      <c r="AA256" s="634"/>
      <c r="AB256" s="219"/>
    </row>
    <row r="257" spans="1:28" s="173" customFormat="1" ht="13.5" customHeight="1" x14ac:dyDescent="0.2">
      <c r="A257" s="220"/>
      <c r="B257" s="219"/>
      <c r="C257" s="219"/>
      <c r="D257" s="596"/>
      <c r="E257" s="597"/>
      <c r="F257" s="597"/>
      <c r="G257" s="598"/>
      <c r="H257" s="253"/>
      <c r="I257" s="596"/>
      <c r="J257" s="597"/>
      <c r="K257" s="597"/>
      <c r="L257" s="598"/>
      <c r="M257" s="253"/>
      <c r="N257" s="596"/>
      <c r="O257" s="597"/>
      <c r="P257" s="597"/>
      <c r="Q257" s="598"/>
      <c r="R257" s="253"/>
      <c r="S257" s="596"/>
      <c r="T257" s="597"/>
      <c r="U257" s="597"/>
      <c r="V257" s="598"/>
      <c r="W257" s="253"/>
      <c r="X257" s="596"/>
      <c r="Y257" s="597"/>
      <c r="Z257" s="597"/>
      <c r="AA257" s="598"/>
      <c r="AB257" s="219"/>
    </row>
    <row r="258" spans="1:28" s="173" customFormat="1" ht="13.5" customHeight="1" x14ac:dyDescent="0.25">
      <c r="A258" s="220"/>
      <c r="B258" s="219"/>
      <c r="C258" s="219"/>
      <c r="D258" s="620" t="s">
        <v>570</v>
      </c>
      <c r="E258" s="621"/>
      <c r="F258" s="621"/>
      <c r="G258" s="622"/>
      <c r="H258" s="253"/>
      <c r="I258" s="620" t="s">
        <v>453</v>
      </c>
      <c r="J258" s="621"/>
      <c r="K258" s="621"/>
      <c r="L258" s="622"/>
      <c r="M258" s="253"/>
      <c r="N258" s="757" t="s">
        <v>312</v>
      </c>
      <c r="O258" s="758"/>
      <c r="P258" s="758"/>
      <c r="Q258" s="759"/>
      <c r="R258" s="253"/>
      <c r="S258" s="757" t="s">
        <v>569</v>
      </c>
      <c r="T258" s="758"/>
      <c r="U258" s="758"/>
      <c r="V258" s="759"/>
      <c r="W258" s="253"/>
      <c r="X258" s="757" t="s">
        <v>464</v>
      </c>
      <c r="Y258" s="758"/>
      <c r="Z258" s="758"/>
      <c r="AA258" s="759"/>
      <c r="AB258" s="219"/>
    </row>
    <row r="259" spans="1:28" s="173" customFormat="1" ht="13.5" customHeight="1" x14ac:dyDescent="0.2">
      <c r="A259" s="220"/>
      <c r="B259" s="219"/>
      <c r="C259" s="219"/>
      <c r="D259" s="602" t="s">
        <v>578</v>
      </c>
      <c r="E259" s="603"/>
      <c r="F259" s="603"/>
      <c r="G259" s="606"/>
      <c r="H259" s="253"/>
      <c r="I259" s="972" t="s">
        <v>577</v>
      </c>
      <c r="J259" s="972"/>
      <c r="K259" s="973"/>
      <c r="L259" s="973"/>
      <c r="M259" s="253"/>
      <c r="N259" s="639" t="s">
        <v>576</v>
      </c>
      <c r="O259" s="640"/>
      <c r="P259" s="640"/>
      <c r="Q259" s="641"/>
      <c r="R259" s="253"/>
      <c r="S259" s="962" t="s">
        <v>575</v>
      </c>
      <c r="T259" s="962"/>
      <c r="U259" s="963"/>
      <c r="V259" s="963"/>
      <c r="W259" s="266"/>
      <c r="X259" s="964" t="s">
        <v>635</v>
      </c>
      <c r="Y259" s="965"/>
      <c r="Z259" s="965"/>
      <c r="AA259" s="966"/>
      <c r="AB259" s="219"/>
    </row>
    <row r="260" spans="1:28" s="173" customFormat="1" ht="13.5" customHeight="1" x14ac:dyDescent="0.2">
      <c r="A260" s="220"/>
      <c r="B260" s="219"/>
      <c r="C260" s="219"/>
      <c r="D260" s="639" t="s">
        <v>618</v>
      </c>
      <c r="E260" s="640"/>
      <c r="F260" s="660"/>
      <c r="G260" s="661"/>
      <c r="H260" s="253"/>
      <c r="I260" s="639" t="s">
        <v>619</v>
      </c>
      <c r="J260" s="640"/>
      <c r="K260" s="640"/>
      <c r="L260" s="641"/>
      <c r="M260" s="253"/>
      <c r="N260" s="639" t="s">
        <v>620</v>
      </c>
      <c r="O260" s="640"/>
      <c r="P260" s="640"/>
      <c r="Q260" s="641"/>
      <c r="R260" s="253"/>
      <c r="S260" s="639" t="s">
        <v>623</v>
      </c>
      <c r="T260" s="640"/>
      <c r="U260" s="660"/>
      <c r="V260" s="661"/>
      <c r="W260" s="261"/>
      <c r="X260" s="639" t="s">
        <v>624</v>
      </c>
      <c r="Y260" s="640"/>
      <c r="Z260" s="640"/>
      <c r="AA260" s="641"/>
      <c r="AB260" s="219"/>
    </row>
    <row r="261" spans="1:28" s="173" customFormat="1" ht="16.149999999999999" customHeight="1" thickBot="1" x14ac:dyDescent="0.3">
      <c r="A261" s="220"/>
      <c r="B261" s="219"/>
      <c r="C261" s="219"/>
      <c r="D261" s="635">
        <f>(D205*2)+D407+I407</f>
        <v>2.08</v>
      </c>
      <c r="E261" s="636"/>
      <c r="F261" s="637">
        <v>0</v>
      </c>
      <c r="G261" s="638"/>
      <c r="H261" s="253"/>
      <c r="I261" s="635">
        <v>2.23</v>
      </c>
      <c r="J261" s="636"/>
      <c r="K261" s="637">
        <v>0</v>
      </c>
      <c r="L261" s="638"/>
      <c r="M261" s="253"/>
      <c r="N261" s="613">
        <f>(N205*2)+D407+I407</f>
        <v>1.8800000000000001</v>
      </c>
      <c r="O261" s="614"/>
      <c r="P261" s="848">
        <v>0</v>
      </c>
      <c r="Q261" s="849"/>
      <c r="R261" s="253"/>
      <c r="S261" s="613">
        <f>(D195*4)+(S205*2)+(D407*4)+(I407*4)</f>
        <v>5.42</v>
      </c>
      <c r="T261" s="614"/>
      <c r="U261" s="848">
        <v>0</v>
      </c>
      <c r="V261" s="849"/>
      <c r="W261" s="253"/>
      <c r="X261" s="613">
        <f>X205+D215+N407+I407</f>
        <v>2.1799999999999997</v>
      </c>
      <c r="Y261" s="614"/>
      <c r="Z261" s="848">
        <v>0</v>
      </c>
      <c r="AA261" s="849"/>
      <c r="AB261" s="219"/>
    </row>
    <row r="262" spans="1:28" s="173" customFormat="1" ht="10.15" customHeight="1" x14ac:dyDescent="0.2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">
      <c r="A263" s="220"/>
      <c r="B263" s="219"/>
      <c r="C263" s="219"/>
      <c r="D263" s="617"/>
      <c r="E263" s="618"/>
      <c r="F263" s="618"/>
      <c r="G263" s="619"/>
      <c r="H263" s="253"/>
      <c r="I263" s="617"/>
      <c r="J263" s="618"/>
      <c r="K263" s="618"/>
      <c r="L263" s="619"/>
      <c r="M263" s="253"/>
      <c r="N263" s="617"/>
      <c r="O263" s="618"/>
      <c r="P263" s="618"/>
      <c r="Q263" s="619"/>
      <c r="R263" s="253"/>
      <c r="S263" s="617"/>
      <c r="T263" s="618"/>
      <c r="U263" s="618"/>
      <c r="V263" s="619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">
      <c r="A264" s="220"/>
      <c r="B264" s="219"/>
      <c r="C264" s="219"/>
      <c r="D264" s="632"/>
      <c r="E264" s="633"/>
      <c r="F264" s="633"/>
      <c r="G264" s="634"/>
      <c r="H264" s="253"/>
      <c r="I264" s="632"/>
      <c r="J264" s="633"/>
      <c r="K264" s="633"/>
      <c r="L264" s="634"/>
      <c r="M264" s="253"/>
      <c r="N264" s="632"/>
      <c r="O264" s="633"/>
      <c r="P264" s="633"/>
      <c r="Q264" s="634"/>
      <c r="R264" s="253"/>
      <c r="S264" s="632"/>
      <c r="T264" s="633"/>
      <c r="U264" s="633"/>
      <c r="V264" s="634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32"/>
      <c r="E265" s="633"/>
      <c r="F265" s="633"/>
      <c r="G265" s="634"/>
      <c r="H265" s="253"/>
      <c r="I265" s="632"/>
      <c r="J265" s="633"/>
      <c r="K265" s="633"/>
      <c r="L265" s="634"/>
      <c r="M265" s="253"/>
      <c r="N265" s="632"/>
      <c r="O265" s="633"/>
      <c r="P265" s="633"/>
      <c r="Q265" s="634"/>
      <c r="R265" s="253"/>
      <c r="S265" s="632"/>
      <c r="T265" s="633"/>
      <c r="U265" s="633"/>
      <c r="V265" s="634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">
      <c r="A267" s="220"/>
      <c r="B267" s="219"/>
      <c r="C267" s="219"/>
      <c r="D267" s="632"/>
      <c r="E267" s="633"/>
      <c r="F267" s="633"/>
      <c r="G267" s="634"/>
      <c r="H267" s="253"/>
      <c r="I267" s="632"/>
      <c r="J267" s="633"/>
      <c r="K267" s="633"/>
      <c r="L267" s="634"/>
      <c r="M267" s="253"/>
      <c r="N267" s="632"/>
      <c r="O267" s="633"/>
      <c r="P267" s="633"/>
      <c r="Q267" s="634"/>
      <c r="R267" s="253"/>
      <c r="S267" s="632"/>
      <c r="T267" s="633"/>
      <c r="U267" s="633"/>
      <c r="V267" s="634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">
      <c r="A268" s="220"/>
      <c r="B268" s="219"/>
      <c r="C268" s="219"/>
      <c r="D268" s="596"/>
      <c r="E268" s="597"/>
      <c r="F268" s="597"/>
      <c r="G268" s="598"/>
      <c r="H268" s="253"/>
      <c r="I268" s="596"/>
      <c r="J268" s="597"/>
      <c r="K268" s="597"/>
      <c r="L268" s="598"/>
      <c r="M268" s="253"/>
      <c r="N268" s="596"/>
      <c r="O268" s="597"/>
      <c r="P268" s="597"/>
      <c r="Q268" s="598"/>
      <c r="R268" s="253"/>
      <c r="S268" s="596"/>
      <c r="T268" s="597"/>
      <c r="U268" s="597"/>
      <c r="V268" s="598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20" t="s">
        <v>465</v>
      </c>
      <c r="E269" s="621"/>
      <c r="F269" s="621"/>
      <c r="G269" s="622"/>
      <c r="H269" s="253"/>
      <c r="I269" s="620" t="s">
        <v>917</v>
      </c>
      <c r="J269" s="621"/>
      <c r="K269" s="621"/>
      <c r="L269" s="622"/>
      <c r="M269" s="253"/>
      <c r="N269" s="757" t="s">
        <v>916</v>
      </c>
      <c r="O269" s="758"/>
      <c r="P269" s="758"/>
      <c r="Q269" s="759"/>
      <c r="R269" s="253"/>
      <c r="S269" s="757" t="s">
        <v>311</v>
      </c>
      <c r="T269" s="758"/>
      <c r="U269" s="758"/>
      <c r="V269" s="759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">
      <c r="A270" s="220"/>
      <c r="B270" s="219"/>
      <c r="C270" s="219"/>
      <c r="D270" s="658" t="s">
        <v>574</v>
      </c>
      <c r="E270" s="658"/>
      <c r="F270" s="659"/>
      <c r="G270" s="659"/>
      <c r="H270" s="253"/>
      <c r="I270" s="967" t="s">
        <v>898</v>
      </c>
      <c r="J270" s="967"/>
      <c r="K270" s="968"/>
      <c r="L270" s="968"/>
      <c r="M270" s="253"/>
      <c r="N270" s="969" t="s">
        <v>900</v>
      </c>
      <c r="O270" s="970"/>
      <c r="P270" s="970"/>
      <c r="Q270" s="971"/>
      <c r="R270" s="253"/>
      <c r="S270" s="639" t="s">
        <v>573</v>
      </c>
      <c r="T270" s="640"/>
      <c r="U270" s="640"/>
      <c r="V270" s="641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">
      <c r="A271" s="220"/>
      <c r="B271" s="219"/>
      <c r="C271" s="219"/>
      <c r="D271" s="639" t="s">
        <v>636</v>
      </c>
      <c r="E271" s="640"/>
      <c r="F271" s="640"/>
      <c r="G271" s="641"/>
      <c r="H271" s="253"/>
      <c r="I271" s="639" t="s">
        <v>899</v>
      </c>
      <c r="J271" s="640"/>
      <c r="K271" s="660"/>
      <c r="L271" s="661"/>
      <c r="M271" s="253"/>
      <c r="N271" s="639" t="s">
        <v>901</v>
      </c>
      <c r="O271" s="640"/>
      <c r="P271" s="660"/>
      <c r="Q271" s="661"/>
      <c r="R271" s="253"/>
      <c r="S271" s="639" t="s">
        <v>637</v>
      </c>
      <c r="T271" s="640"/>
      <c r="U271" s="640"/>
      <c r="V271" s="641"/>
      <c r="W271" s="253"/>
      <c r="X271" s="287"/>
      <c r="Y271" s="287"/>
      <c r="Z271" s="301"/>
      <c r="AA271" s="301"/>
      <c r="AB271" s="219"/>
    </row>
    <row r="272" spans="1:28" s="173" customFormat="1" ht="16.149999999999999" customHeight="1" thickBot="1" x14ac:dyDescent="0.3">
      <c r="A272" s="220"/>
      <c r="B272" s="219"/>
      <c r="C272" s="219"/>
      <c r="D272" s="635">
        <f>I215+N215+D407+I407</f>
        <v>2.02</v>
      </c>
      <c r="E272" s="636"/>
      <c r="F272" s="637">
        <v>0</v>
      </c>
      <c r="G272" s="638"/>
      <c r="H272" s="253"/>
      <c r="I272" s="635">
        <v>2.5</v>
      </c>
      <c r="J272" s="636"/>
      <c r="K272" s="637">
        <v>0</v>
      </c>
      <c r="L272" s="638"/>
      <c r="M272" s="253"/>
      <c r="N272" s="635">
        <v>2.75</v>
      </c>
      <c r="O272" s="636"/>
      <c r="P272" s="637">
        <v>0</v>
      </c>
      <c r="Q272" s="638"/>
      <c r="R272" s="253"/>
      <c r="S272" s="635">
        <v>2.8</v>
      </c>
      <c r="T272" s="636"/>
      <c r="U272" s="637">
        <v>0</v>
      </c>
      <c r="V272" s="638"/>
      <c r="W272" s="253"/>
      <c r="X272" s="287"/>
      <c r="Y272" s="287"/>
      <c r="Z272" s="301"/>
      <c r="AA272" s="301"/>
      <c r="AB272" s="219"/>
    </row>
    <row r="273" spans="1:28" ht="27" customHeight="1" x14ac:dyDescent="0.2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25">
      <c r="A274" s="377"/>
      <c r="B274" s="345"/>
      <c r="C274" s="345"/>
      <c r="D274" s="670" t="s">
        <v>8</v>
      </c>
      <c r="E274" s="670"/>
      <c r="F274" s="670"/>
      <c r="G274" s="670"/>
      <c r="H274" s="670"/>
      <c r="I274" s="670"/>
      <c r="J274" s="670"/>
      <c r="K274" s="670"/>
      <c r="L274" s="670"/>
      <c r="M274" s="670"/>
      <c r="N274" s="670"/>
      <c r="O274" s="670"/>
      <c r="P274" s="670"/>
      <c r="Q274" s="670"/>
      <c r="R274" s="670"/>
      <c r="S274" s="670"/>
      <c r="T274" s="670"/>
      <c r="U274" s="670"/>
      <c r="V274" s="670"/>
      <c r="W274" s="670"/>
      <c r="X274" s="670"/>
      <c r="Y274" s="670"/>
      <c r="Z274" s="670"/>
      <c r="AA274" s="670"/>
      <c r="AB274" s="345"/>
    </row>
    <row r="275" spans="1:28" s="167" customFormat="1" ht="27" customHeight="1" x14ac:dyDescent="0.3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">
      <c r="A276" s="219"/>
      <c r="B276" s="780" t="s">
        <v>167</v>
      </c>
      <c r="C276" s="353"/>
      <c r="D276" s="633"/>
      <c r="E276" s="633"/>
      <c r="F276" s="633"/>
      <c r="G276" s="633"/>
      <c r="H276" s="302"/>
      <c r="I276" s="617"/>
      <c r="J276" s="618"/>
      <c r="K276" s="618"/>
      <c r="L276" s="618"/>
      <c r="M276" s="253"/>
      <c r="N276" s="617"/>
      <c r="O276" s="618"/>
      <c r="P276" s="618"/>
      <c r="Q276" s="619"/>
      <c r="R276" s="302"/>
      <c r="S276" s="633"/>
      <c r="T276" s="633"/>
      <c r="U276" s="633"/>
      <c r="V276" s="633"/>
      <c r="W276" s="294"/>
      <c r="X276" s="612"/>
      <c r="Y276" s="612"/>
      <c r="Z276" s="612"/>
      <c r="AA276" s="612"/>
      <c r="AB276" s="219"/>
    </row>
    <row r="277" spans="1:28" ht="14.25" x14ac:dyDescent="0.2">
      <c r="A277" s="219"/>
      <c r="B277" s="780"/>
      <c r="C277" s="353"/>
      <c r="D277" s="633"/>
      <c r="E277" s="633"/>
      <c r="F277" s="633"/>
      <c r="G277" s="633"/>
      <c r="H277" s="302"/>
      <c r="I277" s="632"/>
      <c r="J277" s="633"/>
      <c r="K277" s="633"/>
      <c r="L277" s="633"/>
      <c r="M277" s="253"/>
      <c r="N277" s="632"/>
      <c r="O277" s="633"/>
      <c r="P277" s="633"/>
      <c r="Q277" s="634"/>
      <c r="R277" s="302"/>
      <c r="S277" s="633"/>
      <c r="T277" s="633"/>
      <c r="U277" s="633"/>
      <c r="V277" s="633"/>
      <c r="W277" s="294"/>
      <c r="X277" s="612"/>
      <c r="Y277" s="612"/>
      <c r="Z277" s="612"/>
      <c r="AA277" s="612"/>
      <c r="AB277" s="219"/>
    </row>
    <row r="278" spans="1:28" ht="14.25" x14ac:dyDescent="0.2">
      <c r="A278" s="219"/>
      <c r="B278" s="780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4.25" x14ac:dyDescent="0.2">
      <c r="A279" s="219"/>
      <c r="B279" s="780"/>
      <c r="C279" s="353"/>
      <c r="D279" s="633"/>
      <c r="E279" s="633"/>
      <c r="F279" s="633"/>
      <c r="G279" s="633"/>
      <c r="H279" s="302"/>
      <c r="I279" s="632"/>
      <c r="J279" s="633"/>
      <c r="K279" s="633"/>
      <c r="L279" s="633"/>
      <c r="M279" s="253"/>
      <c r="N279" s="632"/>
      <c r="O279" s="633"/>
      <c r="P279" s="633"/>
      <c r="Q279" s="634"/>
      <c r="R279" s="302"/>
      <c r="S279" s="633"/>
      <c r="T279" s="633"/>
      <c r="U279" s="633"/>
      <c r="V279" s="633"/>
      <c r="W279" s="294"/>
      <c r="X279" s="612"/>
      <c r="Y279" s="612"/>
      <c r="Z279" s="612"/>
      <c r="AA279" s="612"/>
      <c r="AB279" s="219"/>
    </row>
    <row r="280" spans="1:28" ht="14.25" x14ac:dyDescent="0.2">
      <c r="A280" s="219"/>
      <c r="B280" s="780"/>
      <c r="C280" s="353"/>
      <c r="D280" s="633"/>
      <c r="E280" s="633"/>
      <c r="F280" s="633"/>
      <c r="G280" s="633"/>
      <c r="H280" s="302"/>
      <c r="I280" s="632"/>
      <c r="J280" s="633"/>
      <c r="K280" s="633"/>
      <c r="L280" s="633"/>
      <c r="M280" s="253"/>
      <c r="N280" s="632"/>
      <c r="O280" s="633"/>
      <c r="P280" s="633"/>
      <c r="Q280" s="634"/>
      <c r="R280" s="302"/>
      <c r="S280" s="633"/>
      <c r="T280" s="633"/>
      <c r="U280" s="633"/>
      <c r="V280" s="633"/>
      <c r="W280" s="294"/>
      <c r="X280" s="612"/>
      <c r="Y280" s="612"/>
      <c r="Z280" s="612"/>
      <c r="AA280" s="612"/>
      <c r="AB280" s="219"/>
    </row>
    <row r="281" spans="1:28" ht="14.25" x14ac:dyDescent="0.2">
      <c r="A281" s="219"/>
      <c r="B281" s="780"/>
      <c r="C281" s="353"/>
      <c r="D281" s="596"/>
      <c r="E281" s="597"/>
      <c r="F281" s="597"/>
      <c r="G281" s="598"/>
      <c r="H281" s="302"/>
      <c r="I281" s="596"/>
      <c r="J281" s="597"/>
      <c r="K281" s="597"/>
      <c r="L281" s="597"/>
      <c r="M281" s="253"/>
      <c r="N281" s="596"/>
      <c r="O281" s="597"/>
      <c r="P281" s="597"/>
      <c r="Q281" s="598"/>
      <c r="R281" s="302"/>
      <c r="S281" s="633"/>
      <c r="T281" s="633"/>
      <c r="U281" s="633"/>
      <c r="V281" s="633"/>
      <c r="W281" s="294"/>
      <c r="X281" s="612"/>
      <c r="Y281" s="612"/>
      <c r="Z281" s="612"/>
      <c r="AA281" s="612"/>
      <c r="AB281" s="219"/>
    </row>
    <row r="282" spans="1:28" ht="15" x14ac:dyDescent="0.25">
      <c r="A282" s="219"/>
      <c r="B282" s="780"/>
      <c r="C282" s="241"/>
      <c r="D282" s="678" t="s">
        <v>232</v>
      </c>
      <c r="E282" s="679"/>
      <c r="F282" s="679"/>
      <c r="G282" s="680"/>
      <c r="H282" s="253"/>
      <c r="I282" s="599" t="s">
        <v>216</v>
      </c>
      <c r="J282" s="600"/>
      <c r="K282" s="600"/>
      <c r="L282" s="601"/>
      <c r="M282" s="253"/>
      <c r="N282" s="620" t="s">
        <v>442</v>
      </c>
      <c r="O282" s="621"/>
      <c r="P282" s="621"/>
      <c r="Q282" s="622"/>
      <c r="R282" s="253"/>
      <c r="S282" s="620" t="s">
        <v>219</v>
      </c>
      <c r="T282" s="621"/>
      <c r="U282" s="621"/>
      <c r="V282" s="622"/>
      <c r="W282" s="253"/>
      <c r="X282" s="631"/>
      <c r="Y282" s="631"/>
      <c r="Z282" s="631"/>
      <c r="AA282" s="631"/>
      <c r="AB282" s="219"/>
    </row>
    <row r="283" spans="1:28" s="175" customFormat="1" ht="27" customHeight="1" thickBot="1" x14ac:dyDescent="0.3">
      <c r="A283" s="224"/>
      <c r="B283" s="780"/>
      <c r="C283" s="241"/>
      <c r="D283" s="626" t="s">
        <v>638</v>
      </c>
      <c r="E283" s="627"/>
      <c r="F283" s="627"/>
      <c r="G283" s="628"/>
      <c r="H283" s="266"/>
      <c r="I283" s="626" t="s">
        <v>280</v>
      </c>
      <c r="J283" s="627"/>
      <c r="K283" s="627"/>
      <c r="L283" s="628"/>
      <c r="M283" s="266"/>
      <c r="N283" s="626" t="s">
        <v>443</v>
      </c>
      <c r="O283" s="627"/>
      <c r="P283" s="627"/>
      <c r="Q283" s="628"/>
      <c r="R283" s="266"/>
      <c r="S283" s="626" t="s">
        <v>639</v>
      </c>
      <c r="T283" s="627"/>
      <c r="U283" s="627"/>
      <c r="V283" s="628"/>
      <c r="W283" s="266"/>
      <c r="X283" s="839"/>
      <c r="Y283" s="839"/>
      <c r="Z283" s="839"/>
      <c r="AA283" s="839"/>
      <c r="AB283" s="224"/>
    </row>
    <row r="284" spans="1:28" ht="16.149999999999999" customHeight="1" thickBot="1" x14ac:dyDescent="0.3">
      <c r="A284" s="219"/>
      <c r="B284" s="780"/>
      <c r="C284" s="241"/>
      <c r="D284" s="676">
        <v>0.13</v>
      </c>
      <c r="E284" s="630"/>
      <c r="F284" s="645">
        <v>18</v>
      </c>
      <c r="G284" s="646"/>
      <c r="H284" s="302"/>
      <c r="I284" s="1018">
        <v>0.95</v>
      </c>
      <c r="J284" s="895"/>
      <c r="K284" s="852">
        <v>0</v>
      </c>
      <c r="L284" s="853"/>
      <c r="M284" s="302"/>
      <c r="N284" s="629">
        <v>0.95</v>
      </c>
      <c r="O284" s="630"/>
      <c r="P284" s="645">
        <v>0</v>
      </c>
      <c r="Q284" s="646"/>
      <c r="R284" s="302"/>
      <c r="S284" s="629">
        <v>0.25</v>
      </c>
      <c r="T284" s="630"/>
      <c r="U284" s="645">
        <v>0</v>
      </c>
      <c r="V284" s="795"/>
      <c r="W284" s="294"/>
      <c r="X284" s="807"/>
      <c r="Y284" s="807"/>
      <c r="Z284" s="774"/>
      <c r="AA284" s="774"/>
      <c r="AB284" s="219"/>
    </row>
    <row r="285" spans="1:28" s="460" customFormat="1" ht="16.149999999999999" customHeight="1" x14ac:dyDescent="0.2">
      <c r="A285" s="456"/>
      <c r="B285" s="780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5" customHeight="1" x14ac:dyDescent="0.2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">
      <c r="A287" s="219"/>
      <c r="B287" s="780" t="s">
        <v>281</v>
      </c>
      <c r="C287" s="241"/>
      <c r="D287" s="642"/>
      <c r="E287" s="633"/>
      <c r="F287" s="633"/>
      <c r="G287" s="633"/>
      <c r="H287" s="302"/>
      <c r="I287" s="633"/>
      <c r="J287" s="633"/>
      <c r="K287" s="633"/>
      <c r="L287" s="633"/>
      <c r="M287" s="302"/>
      <c r="N287" s="633"/>
      <c r="O287" s="633"/>
      <c r="P287" s="633"/>
      <c r="Q287" s="633"/>
      <c r="R287" s="302"/>
      <c r="S287" s="633"/>
      <c r="T287" s="633"/>
      <c r="U287" s="633"/>
      <c r="V287" s="633"/>
      <c r="W287" s="302"/>
      <c r="X287" s="633"/>
      <c r="Y287" s="633"/>
      <c r="Z287" s="633"/>
      <c r="AA287" s="633"/>
      <c r="AB287" s="383"/>
    </row>
    <row r="288" spans="1:28" ht="14.25" x14ac:dyDescent="0.2">
      <c r="A288" s="219"/>
      <c r="B288" s="780"/>
      <c r="C288" s="241"/>
      <c r="D288" s="642"/>
      <c r="E288" s="633"/>
      <c r="F288" s="633"/>
      <c r="G288" s="633"/>
      <c r="H288" s="302"/>
      <c r="I288" s="633"/>
      <c r="J288" s="633"/>
      <c r="K288" s="633"/>
      <c r="L288" s="633"/>
      <c r="M288" s="302"/>
      <c r="N288" s="633"/>
      <c r="O288" s="633"/>
      <c r="P288" s="633"/>
      <c r="Q288" s="633"/>
      <c r="R288" s="302"/>
      <c r="S288" s="633"/>
      <c r="T288" s="633"/>
      <c r="U288" s="633"/>
      <c r="V288" s="633"/>
      <c r="W288" s="302"/>
      <c r="X288" s="633"/>
      <c r="Y288" s="633"/>
      <c r="Z288" s="633"/>
      <c r="AA288" s="633"/>
      <c r="AB288" s="383"/>
    </row>
    <row r="289" spans="1:28" ht="14.25" x14ac:dyDescent="0.2">
      <c r="A289" s="219"/>
      <c r="B289" s="780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3"/>
      <c r="T289" s="633"/>
      <c r="U289" s="633"/>
      <c r="V289" s="633"/>
      <c r="W289" s="302"/>
      <c r="X289" s="633"/>
      <c r="Y289" s="633"/>
      <c r="Z289" s="633"/>
      <c r="AA289" s="633"/>
      <c r="AB289" s="383"/>
    </row>
    <row r="290" spans="1:28" ht="14.25" x14ac:dyDescent="0.2">
      <c r="A290" s="219"/>
      <c r="B290" s="780"/>
      <c r="C290" s="241"/>
      <c r="D290" s="642"/>
      <c r="E290" s="633"/>
      <c r="F290" s="633"/>
      <c r="G290" s="633"/>
      <c r="H290" s="302"/>
      <c r="I290" s="633"/>
      <c r="J290" s="633"/>
      <c r="K290" s="633"/>
      <c r="L290" s="633"/>
      <c r="M290" s="302"/>
      <c r="N290" s="633"/>
      <c r="O290" s="633"/>
      <c r="P290" s="633"/>
      <c r="Q290" s="633"/>
      <c r="R290" s="302"/>
      <c r="S290" s="633"/>
      <c r="T290" s="633"/>
      <c r="U290" s="633"/>
      <c r="V290" s="633"/>
      <c r="W290" s="302"/>
      <c r="X290" s="633"/>
      <c r="Y290" s="633"/>
      <c r="Z290" s="633"/>
      <c r="AA290" s="633"/>
      <c r="AB290" s="383"/>
    </row>
    <row r="291" spans="1:28" ht="14.25" x14ac:dyDescent="0.2">
      <c r="A291" s="219"/>
      <c r="B291" s="780"/>
      <c r="C291" s="241"/>
      <c r="D291" s="642"/>
      <c r="E291" s="633"/>
      <c r="F291" s="633"/>
      <c r="G291" s="633"/>
      <c r="H291" s="302"/>
      <c r="I291" s="633"/>
      <c r="J291" s="633"/>
      <c r="K291" s="633"/>
      <c r="L291" s="633"/>
      <c r="M291" s="302"/>
      <c r="N291" s="633"/>
      <c r="O291" s="633"/>
      <c r="P291" s="633"/>
      <c r="Q291" s="633"/>
      <c r="R291" s="302"/>
      <c r="S291" s="633"/>
      <c r="T291" s="633"/>
      <c r="U291" s="633"/>
      <c r="V291" s="633"/>
      <c r="W291" s="302"/>
      <c r="X291" s="633"/>
      <c r="Y291" s="633"/>
      <c r="Z291" s="633"/>
      <c r="AA291" s="633"/>
      <c r="AB291" s="383"/>
    </row>
    <row r="292" spans="1:28" ht="14.25" x14ac:dyDescent="0.2">
      <c r="A292" s="219"/>
      <c r="B292" s="780"/>
      <c r="C292" s="241"/>
      <c r="D292" s="642"/>
      <c r="E292" s="633"/>
      <c r="F292" s="633"/>
      <c r="G292" s="633"/>
      <c r="H292" s="302"/>
      <c r="I292" s="633"/>
      <c r="J292" s="633"/>
      <c r="K292" s="633"/>
      <c r="L292" s="633"/>
      <c r="M292" s="302"/>
      <c r="N292" s="633"/>
      <c r="O292" s="633"/>
      <c r="P292" s="633"/>
      <c r="Q292" s="633"/>
      <c r="R292" s="302"/>
      <c r="S292" s="633"/>
      <c r="T292" s="633"/>
      <c r="U292" s="633"/>
      <c r="V292" s="633"/>
      <c r="W292" s="302"/>
      <c r="X292" s="633"/>
      <c r="Y292" s="633"/>
      <c r="Z292" s="633"/>
      <c r="AA292" s="633"/>
      <c r="AB292" s="383"/>
    </row>
    <row r="293" spans="1:28" ht="15" x14ac:dyDescent="0.25">
      <c r="A293" s="219"/>
      <c r="B293" s="780"/>
      <c r="C293" s="241"/>
      <c r="D293" s="620" t="s">
        <v>217</v>
      </c>
      <c r="E293" s="621"/>
      <c r="F293" s="621"/>
      <c r="G293" s="622"/>
      <c r="H293" s="253"/>
      <c r="I293" s="620" t="s">
        <v>218</v>
      </c>
      <c r="J293" s="621"/>
      <c r="K293" s="621"/>
      <c r="L293" s="622"/>
      <c r="M293" s="253"/>
      <c r="N293" s="620" t="s">
        <v>180</v>
      </c>
      <c r="O293" s="621"/>
      <c r="P293" s="621"/>
      <c r="Q293" s="622"/>
      <c r="R293" s="253"/>
      <c r="S293" s="620" t="s">
        <v>445</v>
      </c>
      <c r="T293" s="621"/>
      <c r="U293" s="621"/>
      <c r="V293" s="622"/>
      <c r="W293" s="253"/>
      <c r="X293" s="620" t="s">
        <v>457</v>
      </c>
      <c r="Y293" s="621"/>
      <c r="Z293" s="621"/>
      <c r="AA293" s="622"/>
      <c r="AB293" s="219"/>
    </row>
    <row r="294" spans="1:28" s="175" customFormat="1" ht="27" customHeight="1" thickBot="1" x14ac:dyDescent="0.3">
      <c r="A294" s="224"/>
      <c r="B294" s="780"/>
      <c r="C294" s="241"/>
      <c r="D294" s="1014" t="s">
        <v>640</v>
      </c>
      <c r="E294" s="627"/>
      <c r="F294" s="627"/>
      <c r="G294" s="628"/>
      <c r="H294" s="266"/>
      <c r="I294" s="626" t="s">
        <v>641</v>
      </c>
      <c r="J294" s="627"/>
      <c r="K294" s="627"/>
      <c r="L294" s="628"/>
      <c r="M294" s="266"/>
      <c r="N294" s="626" t="s">
        <v>282</v>
      </c>
      <c r="O294" s="627"/>
      <c r="P294" s="627"/>
      <c r="Q294" s="628"/>
      <c r="R294" s="266"/>
      <c r="S294" s="626" t="s">
        <v>444</v>
      </c>
      <c r="T294" s="627"/>
      <c r="U294" s="627"/>
      <c r="V294" s="628"/>
      <c r="W294" s="266"/>
      <c r="X294" s="626" t="s">
        <v>458</v>
      </c>
      <c r="Y294" s="627"/>
      <c r="Z294" s="627"/>
      <c r="AA294" s="628"/>
      <c r="AB294" s="224"/>
    </row>
    <row r="295" spans="1:28" ht="16.149999999999999" customHeight="1" thickBot="1" x14ac:dyDescent="0.3">
      <c r="A295" s="219"/>
      <c r="B295" s="780"/>
      <c r="C295" s="241"/>
      <c r="D295" s="662">
        <v>2.4</v>
      </c>
      <c r="E295" s="663"/>
      <c r="F295" s="645">
        <v>10</v>
      </c>
      <c r="G295" s="646"/>
      <c r="H295" s="302"/>
      <c r="I295" s="629">
        <v>2.4</v>
      </c>
      <c r="J295" s="630"/>
      <c r="K295" s="645">
        <v>0</v>
      </c>
      <c r="L295" s="646"/>
      <c r="M295" s="302"/>
      <c r="N295" s="629">
        <v>0.7</v>
      </c>
      <c r="O295" s="630"/>
      <c r="P295" s="645">
        <v>0</v>
      </c>
      <c r="Q295" s="646"/>
      <c r="R295" s="302"/>
      <c r="S295" s="629">
        <v>5</v>
      </c>
      <c r="T295" s="630"/>
      <c r="U295" s="645">
        <v>0</v>
      </c>
      <c r="V295" s="646"/>
      <c r="W295" s="302"/>
      <c r="X295" s="629">
        <v>5</v>
      </c>
      <c r="Y295" s="630"/>
      <c r="Z295" s="645">
        <v>0</v>
      </c>
      <c r="AA295" s="795"/>
      <c r="AB295" s="219"/>
    </row>
    <row r="296" spans="1:28" s="460" customFormat="1" ht="16.149999999999999" customHeight="1" x14ac:dyDescent="0.2">
      <c r="A296" s="456"/>
      <c r="B296" s="780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5" customHeight="1" x14ac:dyDescent="0.2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">
      <c r="A298" s="219"/>
      <c r="B298" s="780" t="s">
        <v>181</v>
      </c>
      <c r="C298" s="241"/>
      <c r="D298" s="617"/>
      <c r="E298" s="618"/>
      <c r="F298" s="618"/>
      <c r="G298" s="619"/>
      <c r="H298" s="253"/>
      <c r="I298" s="617"/>
      <c r="J298" s="618"/>
      <c r="K298" s="618"/>
      <c r="L298" s="619"/>
      <c r="M298" s="253"/>
      <c r="N298" s="617"/>
      <c r="O298" s="618"/>
      <c r="P298" s="618"/>
      <c r="Q298" s="619"/>
      <c r="R298" s="253"/>
      <c r="S298" s="617"/>
      <c r="T298" s="618"/>
      <c r="U298" s="618"/>
      <c r="V298" s="619"/>
      <c r="W298" s="253"/>
      <c r="X298" s="612"/>
      <c r="Y298" s="612"/>
      <c r="Z298" s="612"/>
      <c r="AA298" s="612"/>
      <c r="AB298" s="219"/>
    </row>
    <row r="299" spans="1:28" ht="14.25" x14ac:dyDescent="0.2">
      <c r="A299" s="219"/>
      <c r="B299" s="780"/>
      <c r="C299" s="241"/>
      <c r="D299" s="632"/>
      <c r="E299" s="633"/>
      <c r="F299" s="633"/>
      <c r="G299" s="634"/>
      <c r="H299" s="253"/>
      <c r="I299" s="632"/>
      <c r="J299" s="633"/>
      <c r="K299" s="633"/>
      <c r="L299" s="634"/>
      <c r="M299" s="253"/>
      <c r="N299" s="632"/>
      <c r="O299" s="633"/>
      <c r="P299" s="633"/>
      <c r="Q299" s="634"/>
      <c r="R299" s="253"/>
      <c r="S299" s="632"/>
      <c r="T299" s="633"/>
      <c r="U299" s="633"/>
      <c r="V299" s="634"/>
      <c r="W299" s="253"/>
      <c r="X299" s="612"/>
      <c r="Y299" s="612"/>
      <c r="Z299" s="612"/>
      <c r="AA299" s="612"/>
      <c r="AB299" s="219"/>
    </row>
    <row r="300" spans="1:28" ht="14.25" x14ac:dyDescent="0.2">
      <c r="A300" s="219"/>
      <c r="B300" s="780"/>
      <c r="C300" s="241"/>
      <c r="D300" s="632"/>
      <c r="E300" s="633"/>
      <c r="F300" s="633"/>
      <c r="G300" s="634"/>
      <c r="H300" s="253"/>
      <c r="I300" s="632"/>
      <c r="J300" s="633"/>
      <c r="K300" s="633"/>
      <c r="L300" s="634"/>
      <c r="M300" s="253"/>
      <c r="N300" s="632"/>
      <c r="O300" s="633"/>
      <c r="P300" s="633"/>
      <c r="Q300" s="634"/>
      <c r="R300" s="253"/>
      <c r="S300" s="632"/>
      <c r="T300" s="633"/>
      <c r="U300" s="633"/>
      <c r="V300" s="634"/>
      <c r="W300" s="253"/>
      <c r="X300" s="612"/>
      <c r="Y300" s="612"/>
      <c r="Z300" s="612"/>
      <c r="AA300" s="612"/>
      <c r="AB300" s="219"/>
    </row>
    <row r="301" spans="1:28" ht="14.25" x14ac:dyDescent="0.2">
      <c r="A301" s="219"/>
      <c r="B301" s="780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4.25" x14ac:dyDescent="0.2">
      <c r="A302" s="219"/>
      <c r="B302" s="780"/>
      <c r="C302" s="241"/>
      <c r="D302" s="632"/>
      <c r="E302" s="633"/>
      <c r="F302" s="633"/>
      <c r="G302" s="634"/>
      <c r="H302" s="253"/>
      <c r="I302" s="632"/>
      <c r="J302" s="633"/>
      <c r="K302" s="633"/>
      <c r="L302" s="634"/>
      <c r="M302" s="253"/>
      <c r="N302" s="632"/>
      <c r="O302" s="633"/>
      <c r="P302" s="633"/>
      <c r="Q302" s="634"/>
      <c r="R302" s="253"/>
      <c r="S302" s="632"/>
      <c r="T302" s="633"/>
      <c r="U302" s="633"/>
      <c r="V302" s="634"/>
      <c r="W302" s="253"/>
      <c r="X302" s="612"/>
      <c r="Y302" s="612"/>
      <c r="Z302" s="612"/>
      <c r="AA302" s="612"/>
      <c r="AB302" s="219"/>
    </row>
    <row r="303" spans="1:28" ht="14.25" x14ac:dyDescent="0.2">
      <c r="A303" s="219"/>
      <c r="B303" s="780"/>
      <c r="C303" s="241"/>
      <c r="D303" s="596"/>
      <c r="E303" s="597"/>
      <c r="F303" s="597"/>
      <c r="G303" s="598"/>
      <c r="H303" s="253"/>
      <c r="I303" s="596"/>
      <c r="J303" s="597"/>
      <c r="K303" s="597"/>
      <c r="L303" s="598"/>
      <c r="M303" s="253"/>
      <c r="N303" s="596"/>
      <c r="O303" s="597"/>
      <c r="P303" s="597"/>
      <c r="Q303" s="598"/>
      <c r="R303" s="253"/>
      <c r="S303" s="596"/>
      <c r="T303" s="597"/>
      <c r="U303" s="597"/>
      <c r="V303" s="598"/>
      <c r="W303" s="253"/>
      <c r="X303" s="612"/>
      <c r="Y303" s="612"/>
      <c r="Z303" s="612"/>
      <c r="AA303" s="612"/>
      <c r="AB303" s="219"/>
    </row>
    <row r="304" spans="1:28" ht="15" x14ac:dyDescent="0.25">
      <c r="A304" s="219"/>
      <c r="B304" s="780"/>
      <c r="C304" s="241"/>
      <c r="D304" s="678" t="s">
        <v>186</v>
      </c>
      <c r="E304" s="679"/>
      <c r="F304" s="679"/>
      <c r="G304" s="680"/>
      <c r="H304" s="253"/>
      <c r="I304" s="678" t="s">
        <v>187</v>
      </c>
      <c r="J304" s="679"/>
      <c r="K304" s="679"/>
      <c r="L304" s="680"/>
      <c r="M304" s="253"/>
      <c r="N304" s="647" t="s">
        <v>188</v>
      </c>
      <c r="O304" s="648"/>
      <c r="P304" s="648"/>
      <c r="Q304" s="649"/>
      <c r="R304" s="253"/>
      <c r="S304" s="647" t="s">
        <v>189</v>
      </c>
      <c r="T304" s="648"/>
      <c r="U304" s="648"/>
      <c r="V304" s="649"/>
      <c r="W304" s="253"/>
      <c r="X304" s="631"/>
      <c r="Y304" s="631"/>
      <c r="Z304" s="631"/>
      <c r="AA304" s="631"/>
      <c r="AB304" s="219"/>
    </row>
    <row r="305" spans="1:28" s="175" customFormat="1" ht="27" customHeight="1" x14ac:dyDescent="0.25">
      <c r="A305" s="224"/>
      <c r="B305" s="780"/>
      <c r="C305" s="241"/>
      <c r="D305" s="602" t="s">
        <v>642</v>
      </c>
      <c r="E305" s="603"/>
      <c r="F305" s="603"/>
      <c r="G305" s="606"/>
      <c r="H305" s="266"/>
      <c r="I305" s="602" t="s">
        <v>165</v>
      </c>
      <c r="J305" s="603"/>
      <c r="K305" s="603"/>
      <c r="L305" s="606"/>
      <c r="M305" s="266"/>
      <c r="N305" s="602" t="s">
        <v>9</v>
      </c>
      <c r="O305" s="603"/>
      <c r="P305" s="603"/>
      <c r="Q305" s="606"/>
      <c r="R305" s="266"/>
      <c r="S305" s="602" t="s">
        <v>10</v>
      </c>
      <c r="T305" s="603"/>
      <c r="U305" s="603"/>
      <c r="V305" s="606"/>
      <c r="W305" s="266"/>
      <c r="X305" s="839"/>
      <c r="Y305" s="839"/>
      <c r="Z305" s="839"/>
      <c r="AA305" s="839"/>
      <c r="AB305" s="224"/>
    </row>
    <row r="306" spans="1:28" ht="16.149999999999999" customHeight="1" thickBot="1" x14ac:dyDescent="0.3">
      <c r="A306" s="219"/>
      <c r="B306" s="780"/>
      <c r="C306" s="241"/>
      <c r="D306" s="635">
        <v>0.13</v>
      </c>
      <c r="E306" s="636"/>
      <c r="F306" s="637">
        <v>0</v>
      </c>
      <c r="G306" s="638"/>
      <c r="H306" s="253"/>
      <c r="I306" s="635">
        <v>0.5</v>
      </c>
      <c r="J306" s="636"/>
      <c r="K306" s="637">
        <v>0</v>
      </c>
      <c r="L306" s="638"/>
      <c r="M306" s="253"/>
      <c r="N306" s="850">
        <v>0.2</v>
      </c>
      <c r="O306" s="851"/>
      <c r="P306" s="671">
        <v>0</v>
      </c>
      <c r="Q306" s="672"/>
      <c r="R306" s="253"/>
      <c r="S306" s="850">
        <v>0.23</v>
      </c>
      <c r="T306" s="851"/>
      <c r="U306" s="671">
        <v>0</v>
      </c>
      <c r="V306" s="672"/>
      <c r="W306" s="253"/>
      <c r="X306" s="974"/>
      <c r="Y306" s="974"/>
      <c r="Z306" s="681"/>
      <c r="AA306" s="681"/>
      <c r="AB306" s="219"/>
    </row>
    <row r="307" spans="1:28" s="460" customFormat="1" ht="16.149999999999999" customHeight="1" x14ac:dyDescent="0.2">
      <c r="A307" s="456"/>
      <c r="B307" s="780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5" customHeight="1" x14ac:dyDescent="0.2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">
      <c r="A309" s="219"/>
      <c r="B309" s="780" t="s">
        <v>182</v>
      </c>
      <c r="C309" s="241"/>
      <c r="D309" s="617"/>
      <c r="E309" s="618"/>
      <c r="F309" s="618"/>
      <c r="G309" s="619"/>
      <c r="H309" s="253"/>
      <c r="I309" s="617"/>
      <c r="J309" s="618"/>
      <c r="K309" s="618"/>
      <c r="L309" s="619"/>
      <c r="M309" s="253"/>
      <c r="N309" s="617"/>
      <c r="O309" s="618"/>
      <c r="P309" s="618"/>
      <c r="Q309" s="619"/>
      <c r="R309" s="253"/>
      <c r="S309" s="617"/>
      <c r="T309" s="618"/>
      <c r="U309" s="618"/>
      <c r="V309" s="619"/>
      <c r="W309" s="253"/>
      <c r="X309" s="617"/>
      <c r="Y309" s="618"/>
      <c r="Z309" s="618"/>
      <c r="AA309" s="619"/>
      <c r="AB309" s="219"/>
    </row>
    <row r="310" spans="1:28" ht="14.25" x14ac:dyDescent="0.2">
      <c r="A310" s="219"/>
      <c r="B310" s="780"/>
      <c r="C310" s="241"/>
      <c r="D310" s="632"/>
      <c r="E310" s="633"/>
      <c r="F310" s="633"/>
      <c r="G310" s="634"/>
      <c r="H310" s="253"/>
      <c r="I310" s="632"/>
      <c r="J310" s="633"/>
      <c r="K310" s="633"/>
      <c r="L310" s="634"/>
      <c r="M310" s="253"/>
      <c r="N310" s="632"/>
      <c r="O310" s="633"/>
      <c r="P310" s="633"/>
      <c r="Q310" s="634"/>
      <c r="R310" s="253"/>
      <c r="S310" s="632"/>
      <c r="T310" s="633"/>
      <c r="U310" s="633"/>
      <c r="V310" s="634"/>
      <c r="W310" s="253"/>
      <c r="X310" s="632"/>
      <c r="Y310" s="633"/>
      <c r="Z310" s="633"/>
      <c r="AA310" s="634"/>
      <c r="AB310" s="219"/>
    </row>
    <row r="311" spans="1:28" ht="14.25" x14ac:dyDescent="0.2">
      <c r="A311" s="219"/>
      <c r="B311" s="780"/>
      <c r="C311" s="241"/>
      <c r="D311" s="632"/>
      <c r="E311" s="633"/>
      <c r="F311" s="633"/>
      <c r="G311" s="634"/>
      <c r="H311" s="253"/>
      <c r="I311" s="632"/>
      <c r="J311" s="633"/>
      <c r="K311" s="633"/>
      <c r="L311" s="634"/>
      <c r="M311" s="253"/>
      <c r="N311" s="632"/>
      <c r="O311" s="633"/>
      <c r="P311" s="633"/>
      <c r="Q311" s="634"/>
      <c r="R311" s="253"/>
      <c r="S311" s="632"/>
      <c r="T311" s="633"/>
      <c r="U311" s="633"/>
      <c r="V311" s="634"/>
      <c r="W311" s="253"/>
      <c r="X311" s="632"/>
      <c r="Y311" s="633"/>
      <c r="Z311" s="633"/>
      <c r="AA311" s="634"/>
      <c r="AB311" s="219"/>
    </row>
    <row r="312" spans="1:28" ht="14.25" x14ac:dyDescent="0.2">
      <c r="A312" s="219"/>
      <c r="B312" s="780"/>
      <c r="C312" s="241"/>
      <c r="D312" s="272"/>
      <c r="E312" s="273"/>
      <c r="F312" s="273"/>
      <c r="G312" s="274"/>
      <c r="H312" s="253"/>
      <c r="I312" s="632"/>
      <c r="J312" s="633"/>
      <c r="K312" s="633"/>
      <c r="L312" s="634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4.25" x14ac:dyDescent="0.2">
      <c r="A313" s="219"/>
      <c r="B313" s="780"/>
      <c r="C313" s="241"/>
      <c r="D313" s="632"/>
      <c r="E313" s="633"/>
      <c r="F313" s="633"/>
      <c r="G313" s="634"/>
      <c r="H313" s="253"/>
      <c r="I313" s="632"/>
      <c r="J313" s="633"/>
      <c r="K313" s="633"/>
      <c r="L313" s="634"/>
      <c r="M313" s="253"/>
      <c r="N313" s="632"/>
      <c r="O313" s="633"/>
      <c r="P313" s="633"/>
      <c r="Q313" s="634"/>
      <c r="R313" s="253"/>
      <c r="S313" s="632"/>
      <c r="T313" s="633"/>
      <c r="U313" s="633"/>
      <c r="V313" s="634"/>
      <c r="W313" s="253"/>
      <c r="X313" s="632"/>
      <c r="Y313" s="633"/>
      <c r="Z313" s="633"/>
      <c r="AA313" s="634"/>
      <c r="AB313" s="219"/>
    </row>
    <row r="314" spans="1:28" ht="14.25" x14ac:dyDescent="0.2">
      <c r="A314" s="219"/>
      <c r="B314" s="780"/>
      <c r="C314" s="241"/>
      <c r="D314" s="596"/>
      <c r="E314" s="597"/>
      <c r="F314" s="597"/>
      <c r="G314" s="598"/>
      <c r="H314" s="253"/>
      <c r="I314" s="596"/>
      <c r="J314" s="597"/>
      <c r="K314" s="597"/>
      <c r="L314" s="598"/>
      <c r="M314" s="253"/>
      <c r="N314" s="596"/>
      <c r="O314" s="597"/>
      <c r="P314" s="597"/>
      <c r="Q314" s="598"/>
      <c r="R314" s="253"/>
      <c r="S314" s="596"/>
      <c r="T314" s="597"/>
      <c r="U314" s="597"/>
      <c r="V314" s="598"/>
      <c r="W314" s="253"/>
      <c r="X314" s="596"/>
      <c r="Y314" s="597"/>
      <c r="Z314" s="597"/>
      <c r="AA314" s="598"/>
      <c r="AB314" s="219"/>
    </row>
    <row r="315" spans="1:28" ht="15" x14ac:dyDescent="0.25">
      <c r="A315" s="219"/>
      <c r="B315" s="780"/>
      <c r="C315" s="241"/>
      <c r="D315" s="620" t="s">
        <v>226</v>
      </c>
      <c r="E315" s="621"/>
      <c r="F315" s="621"/>
      <c r="G315" s="622"/>
      <c r="H315" s="253"/>
      <c r="I315" s="620" t="s">
        <v>235</v>
      </c>
      <c r="J315" s="621"/>
      <c r="K315" s="621"/>
      <c r="L315" s="622"/>
      <c r="M315" s="253"/>
      <c r="N315" s="620" t="s">
        <v>227</v>
      </c>
      <c r="O315" s="621"/>
      <c r="P315" s="621"/>
      <c r="Q315" s="622"/>
      <c r="R315" s="253"/>
      <c r="S315" s="620" t="s">
        <v>933</v>
      </c>
      <c r="T315" s="621"/>
      <c r="U315" s="621"/>
      <c r="V315" s="622"/>
      <c r="W315" s="253"/>
      <c r="X315" s="620" t="s">
        <v>919</v>
      </c>
      <c r="Y315" s="621"/>
      <c r="Z315" s="621"/>
      <c r="AA315" s="622"/>
      <c r="AB315" s="219"/>
    </row>
    <row r="316" spans="1:28" s="175" customFormat="1" ht="27" customHeight="1" x14ac:dyDescent="0.25">
      <c r="A316" s="224"/>
      <c r="B316" s="780"/>
      <c r="C316" s="241"/>
      <c r="D316" s="602" t="s">
        <v>308</v>
      </c>
      <c r="E316" s="603"/>
      <c r="F316" s="603"/>
      <c r="G316" s="606"/>
      <c r="H316" s="266"/>
      <c r="I316" s="602" t="s">
        <v>805</v>
      </c>
      <c r="J316" s="603"/>
      <c r="K316" s="603"/>
      <c r="L316" s="606"/>
      <c r="M316" s="266"/>
      <c r="N316" s="602" t="s">
        <v>804</v>
      </c>
      <c r="O316" s="603"/>
      <c r="P316" s="603"/>
      <c r="Q316" s="606"/>
      <c r="R316" s="266"/>
      <c r="S316" s="602" t="s">
        <v>954</v>
      </c>
      <c r="T316" s="603"/>
      <c r="U316" s="603"/>
      <c r="V316" s="606"/>
      <c r="W316" s="266"/>
      <c r="X316" s="602" t="s">
        <v>955</v>
      </c>
      <c r="Y316" s="603"/>
      <c r="Z316" s="603"/>
      <c r="AA316" s="606"/>
      <c r="AB316" s="224"/>
    </row>
    <row r="317" spans="1:28" ht="16.149999999999999" customHeight="1" x14ac:dyDescent="0.25">
      <c r="A317" s="219"/>
      <c r="B317" s="780"/>
      <c r="C317" s="241"/>
      <c r="D317" s="854">
        <v>0.9</v>
      </c>
      <c r="E317" s="855"/>
      <c r="F317" s="643"/>
      <c r="G317" s="644"/>
      <c r="H317" s="253"/>
      <c r="I317" s="854">
        <v>0.8</v>
      </c>
      <c r="J317" s="855"/>
      <c r="K317" s="643">
        <v>0</v>
      </c>
      <c r="L317" s="644"/>
      <c r="M317" s="253"/>
      <c r="N317" s="635">
        <v>1.8</v>
      </c>
      <c r="O317" s="636"/>
      <c r="P317" s="643"/>
      <c r="Q317" s="644"/>
      <c r="R317" s="253"/>
      <c r="S317" s="635">
        <v>1.9</v>
      </c>
      <c r="T317" s="636"/>
      <c r="U317" s="643">
        <v>0</v>
      </c>
      <c r="V317" s="644"/>
      <c r="W317" s="253"/>
      <c r="X317" s="635">
        <v>2.25</v>
      </c>
      <c r="Y317" s="636"/>
      <c r="Z317" s="643">
        <v>0</v>
      </c>
      <c r="AA317" s="644"/>
      <c r="AB317" s="219"/>
    </row>
    <row r="318" spans="1:28" s="460" customFormat="1" ht="16.149999999999999" customHeight="1" x14ac:dyDescent="0.2">
      <c r="A318" s="456"/>
      <c r="B318" s="780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5" customHeight="1" x14ac:dyDescent="0.2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">
      <c r="A320" s="219"/>
      <c r="B320" s="780" t="s">
        <v>168</v>
      </c>
      <c r="C320" s="248"/>
      <c r="D320" s="617"/>
      <c r="E320" s="618"/>
      <c r="F320" s="618"/>
      <c r="G320" s="619"/>
      <c r="H320" s="253"/>
      <c r="I320" s="617"/>
      <c r="J320" s="618"/>
      <c r="K320" s="618"/>
      <c r="L320" s="619"/>
      <c r="M320" s="253"/>
      <c r="N320" s="617"/>
      <c r="O320" s="618"/>
      <c r="P320" s="618"/>
      <c r="Q320" s="619"/>
      <c r="R320" s="253"/>
      <c r="S320" s="617"/>
      <c r="T320" s="618"/>
      <c r="U320" s="618"/>
      <c r="V320" s="619"/>
      <c r="W320" s="253"/>
      <c r="X320" s="612"/>
      <c r="Y320" s="612"/>
      <c r="Z320" s="612"/>
      <c r="AA320" s="612"/>
      <c r="AB320" s="219"/>
    </row>
    <row r="321" spans="1:28" ht="14.25" x14ac:dyDescent="0.2">
      <c r="A321" s="219"/>
      <c r="B321" s="780"/>
      <c r="C321" s="248"/>
      <c r="D321" s="632"/>
      <c r="E321" s="633"/>
      <c r="F321" s="633"/>
      <c r="G321" s="634"/>
      <c r="H321" s="253"/>
      <c r="I321" s="632"/>
      <c r="J321" s="633"/>
      <c r="K321" s="633"/>
      <c r="L321" s="634"/>
      <c r="M321" s="253"/>
      <c r="N321" s="632"/>
      <c r="O321" s="633"/>
      <c r="P321" s="633"/>
      <c r="Q321" s="634"/>
      <c r="R321" s="253"/>
      <c r="S321" s="632"/>
      <c r="T321" s="633"/>
      <c r="U321" s="633"/>
      <c r="V321" s="634"/>
      <c r="W321" s="253"/>
      <c r="X321" s="612"/>
      <c r="Y321" s="612"/>
      <c r="Z321" s="612"/>
      <c r="AA321" s="612"/>
      <c r="AB321" s="219"/>
    </row>
    <row r="322" spans="1:28" ht="14.25" x14ac:dyDescent="0.2">
      <c r="A322" s="219"/>
      <c r="B322" s="780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4.25" x14ac:dyDescent="0.2">
      <c r="A323" s="219"/>
      <c r="B323" s="780"/>
      <c r="C323" s="248"/>
      <c r="D323" s="632"/>
      <c r="E323" s="633"/>
      <c r="F323" s="633"/>
      <c r="G323" s="634"/>
      <c r="H323" s="253"/>
      <c r="I323" s="632"/>
      <c r="J323" s="633"/>
      <c r="K323" s="633"/>
      <c r="L323" s="634"/>
      <c r="M323" s="253"/>
      <c r="N323" s="632"/>
      <c r="O323" s="633"/>
      <c r="P323" s="633"/>
      <c r="Q323" s="634"/>
      <c r="R323" s="253"/>
      <c r="S323" s="632"/>
      <c r="T323" s="633"/>
      <c r="U323" s="633"/>
      <c r="V323" s="634"/>
      <c r="W323" s="253"/>
      <c r="X323" s="612"/>
      <c r="Y323" s="612"/>
      <c r="Z323" s="612"/>
      <c r="AA323" s="612"/>
      <c r="AB323" s="219"/>
    </row>
    <row r="324" spans="1:28" ht="14.25" x14ac:dyDescent="0.2">
      <c r="A324" s="219"/>
      <c r="B324" s="780"/>
      <c r="C324" s="248"/>
      <c r="D324" s="632"/>
      <c r="E324" s="633"/>
      <c r="F324" s="633"/>
      <c r="G324" s="634"/>
      <c r="H324" s="253"/>
      <c r="I324" s="632"/>
      <c r="J324" s="633"/>
      <c r="K324" s="633"/>
      <c r="L324" s="634"/>
      <c r="M324" s="253"/>
      <c r="N324" s="632"/>
      <c r="O324" s="633"/>
      <c r="P324" s="633"/>
      <c r="Q324" s="634"/>
      <c r="R324" s="253"/>
      <c r="S324" s="632"/>
      <c r="T324" s="633"/>
      <c r="U324" s="633"/>
      <c r="V324" s="634"/>
      <c r="W324" s="253"/>
      <c r="X324" s="612"/>
      <c r="Y324" s="612"/>
      <c r="Z324" s="612"/>
      <c r="AA324" s="612"/>
      <c r="AB324" s="219"/>
    </row>
    <row r="325" spans="1:28" ht="14.25" x14ac:dyDescent="0.2">
      <c r="A325" s="219"/>
      <c r="B325" s="780"/>
      <c r="C325" s="248"/>
      <c r="D325" s="596"/>
      <c r="E325" s="597"/>
      <c r="F325" s="597"/>
      <c r="G325" s="598"/>
      <c r="H325" s="253"/>
      <c r="I325" s="596"/>
      <c r="J325" s="597"/>
      <c r="K325" s="597"/>
      <c r="L325" s="598"/>
      <c r="M325" s="253"/>
      <c r="N325" s="596"/>
      <c r="O325" s="597"/>
      <c r="P325" s="597"/>
      <c r="Q325" s="598"/>
      <c r="R325" s="253"/>
      <c r="S325" s="596"/>
      <c r="T325" s="597"/>
      <c r="U325" s="597"/>
      <c r="V325" s="598"/>
      <c r="W325" s="253"/>
      <c r="X325" s="612"/>
      <c r="Y325" s="612"/>
      <c r="Z325" s="612"/>
      <c r="AA325" s="612"/>
      <c r="AB325" s="219"/>
    </row>
    <row r="326" spans="1:28" ht="15" x14ac:dyDescent="0.25">
      <c r="A326" s="219"/>
      <c r="B326" s="780"/>
      <c r="C326" s="248"/>
      <c r="D326" s="620" t="s">
        <v>228</v>
      </c>
      <c r="E326" s="621"/>
      <c r="F326" s="621"/>
      <c r="G326" s="622"/>
      <c r="H326" s="253"/>
      <c r="I326" s="620" t="s">
        <v>220</v>
      </c>
      <c r="J326" s="621"/>
      <c r="K326" s="621"/>
      <c r="L326" s="622"/>
      <c r="M326" s="253"/>
      <c r="N326" s="620" t="s">
        <v>190</v>
      </c>
      <c r="O326" s="621"/>
      <c r="P326" s="621"/>
      <c r="Q326" s="622"/>
      <c r="R326" s="253"/>
      <c r="S326" s="620" t="s">
        <v>918</v>
      </c>
      <c r="T326" s="621"/>
      <c r="U326" s="621"/>
      <c r="V326" s="622"/>
      <c r="W326" s="253"/>
      <c r="X326" s="631"/>
      <c r="Y326" s="631"/>
      <c r="Z326" s="631"/>
      <c r="AA326" s="631"/>
      <c r="AB326" s="219"/>
    </row>
    <row r="327" spans="1:28" s="175" customFormat="1" ht="27" customHeight="1" x14ac:dyDescent="0.25">
      <c r="A327" s="224"/>
      <c r="B327" s="780"/>
      <c r="C327" s="248"/>
      <c r="D327" s="602" t="s">
        <v>643</v>
      </c>
      <c r="E327" s="603"/>
      <c r="F327" s="603"/>
      <c r="G327" s="606"/>
      <c r="H327" s="266"/>
      <c r="I327" s="602" t="s">
        <v>11</v>
      </c>
      <c r="J327" s="603"/>
      <c r="K327" s="603"/>
      <c r="L327" s="606"/>
      <c r="M327" s="266"/>
      <c r="N327" s="602" t="s">
        <v>0</v>
      </c>
      <c r="O327" s="603"/>
      <c r="P327" s="603"/>
      <c r="Q327" s="606"/>
      <c r="R327" s="266"/>
      <c r="S327" s="602" t="s">
        <v>956</v>
      </c>
      <c r="T327" s="603"/>
      <c r="U327" s="603"/>
      <c r="V327" s="606"/>
      <c r="W327" s="266"/>
      <c r="X327" s="839"/>
      <c r="Y327" s="839"/>
      <c r="Z327" s="839"/>
      <c r="AA327" s="839"/>
      <c r="AB327" s="224"/>
    </row>
    <row r="328" spans="1:28" ht="16.149999999999999" customHeight="1" x14ac:dyDescent="0.25">
      <c r="A328" s="219"/>
      <c r="B328" s="780"/>
      <c r="C328" s="248"/>
      <c r="D328" s="635">
        <v>1</v>
      </c>
      <c r="E328" s="636"/>
      <c r="F328" s="643">
        <v>0</v>
      </c>
      <c r="G328" s="644"/>
      <c r="H328" s="253"/>
      <c r="I328" s="635">
        <v>6.5</v>
      </c>
      <c r="J328" s="636"/>
      <c r="K328" s="643">
        <v>0</v>
      </c>
      <c r="L328" s="644"/>
      <c r="M328" s="253"/>
      <c r="N328" s="635">
        <v>3</v>
      </c>
      <c r="O328" s="636"/>
      <c r="P328" s="643">
        <v>0</v>
      </c>
      <c r="Q328" s="644"/>
      <c r="R328" s="253"/>
      <c r="S328" s="635">
        <v>3.1</v>
      </c>
      <c r="T328" s="636"/>
      <c r="U328" s="643">
        <v>0</v>
      </c>
      <c r="V328" s="644"/>
      <c r="W328" s="253"/>
      <c r="X328" s="974"/>
      <c r="Y328" s="974"/>
      <c r="Z328" s="681"/>
      <c r="AA328" s="681"/>
      <c r="AB328" s="219"/>
    </row>
    <row r="329" spans="1:28" s="460" customFormat="1" ht="16.149999999999999" customHeight="1" x14ac:dyDescent="0.2">
      <c r="A329" s="456"/>
      <c r="B329" s="780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5" customHeight="1" x14ac:dyDescent="0.2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4.25" x14ac:dyDescent="0.2">
      <c r="A331" s="219"/>
      <c r="B331" s="780" t="s">
        <v>476</v>
      </c>
      <c r="C331" s="241"/>
      <c r="D331" s="617"/>
      <c r="E331" s="618"/>
      <c r="F331" s="618"/>
      <c r="G331" s="619"/>
      <c r="H331" s="253"/>
      <c r="I331" s="617"/>
      <c r="J331" s="618"/>
      <c r="K331" s="618"/>
      <c r="L331" s="619"/>
      <c r="M331" s="253"/>
      <c r="N331" s="617"/>
      <c r="O331" s="618"/>
      <c r="P331" s="618"/>
      <c r="Q331" s="619"/>
      <c r="R331" s="253"/>
      <c r="S331" s="617"/>
      <c r="T331" s="618"/>
      <c r="U331" s="618"/>
      <c r="V331" s="619"/>
      <c r="W331" s="253"/>
      <c r="X331" s="633"/>
      <c r="Y331" s="633"/>
      <c r="Z331" s="633"/>
      <c r="AA331" s="633"/>
      <c r="AB331" s="219"/>
    </row>
    <row r="332" spans="1:28" ht="14.25" x14ac:dyDescent="0.2">
      <c r="A332" s="219"/>
      <c r="B332" s="780"/>
      <c r="C332" s="241"/>
      <c r="D332" s="632"/>
      <c r="E332" s="633"/>
      <c r="F332" s="633"/>
      <c r="G332" s="634"/>
      <c r="H332" s="253"/>
      <c r="I332" s="632"/>
      <c r="J332" s="633"/>
      <c r="K332" s="633"/>
      <c r="L332" s="634"/>
      <c r="M332" s="253"/>
      <c r="N332" s="632"/>
      <c r="O332" s="633"/>
      <c r="P332" s="633"/>
      <c r="Q332" s="634"/>
      <c r="R332" s="253"/>
      <c r="S332" s="632"/>
      <c r="T332" s="633"/>
      <c r="U332" s="633"/>
      <c r="V332" s="634"/>
      <c r="W332" s="253"/>
      <c r="X332" s="633"/>
      <c r="Y332" s="633"/>
      <c r="Z332" s="633"/>
      <c r="AA332" s="633"/>
      <c r="AB332" s="219"/>
    </row>
    <row r="333" spans="1:28" ht="14.25" x14ac:dyDescent="0.2">
      <c r="A333" s="219"/>
      <c r="B333" s="780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3"/>
      <c r="Y333" s="633"/>
      <c r="Z333" s="633"/>
      <c r="AA333" s="633"/>
      <c r="AB333" s="219"/>
    </row>
    <row r="334" spans="1:28" ht="14.25" x14ac:dyDescent="0.2">
      <c r="A334" s="219"/>
      <c r="B334" s="780"/>
      <c r="C334" s="241"/>
      <c r="D334" s="632"/>
      <c r="E334" s="633"/>
      <c r="F334" s="633"/>
      <c r="G334" s="634"/>
      <c r="H334" s="253"/>
      <c r="I334" s="632"/>
      <c r="J334" s="633"/>
      <c r="K334" s="633"/>
      <c r="L334" s="634"/>
      <c r="M334" s="253"/>
      <c r="N334" s="632"/>
      <c r="O334" s="633"/>
      <c r="P334" s="633"/>
      <c r="Q334" s="634"/>
      <c r="R334" s="253"/>
      <c r="S334" s="632"/>
      <c r="T334" s="633"/>
      <c r="U334" s="633"/>
      <c r="V334" s="634"/>
      <c r="W334" s="253"/>
      <c r="X334" s="633"/>
      <c r="Y334" s="633"/>
      <c r="Z334" s="633"/>
      <c r="AA334" s="633"/>
      <c r="AB334" s="219"/>
    </row>
    <row r="335" spans="1:28" ht="14.25" x14ac:dyDescent="0.2">
      <c r="A335" s="219"/>
      <c r="B335" s="780"/>
      <c r="C335" s="241"/>
      <c r="D335" s="632"/>
      <c r="E335" s="633"/>
      <c r="F335" s="633"/>
      <c r="G335" s="634"/>
      <c r="H335" s="253"/>
      <c r="I335" s="632"/>
      <c r="J335" s="633"/>
      <c r="K335" s="633"/>
      <c r="L335" s="634"/>
      <c r="M335" s="253"/>
      <c r="N335" s="632"/>
      <c r="O335" s="633"/>
      <c r="P335" s="633"/>
      <c r="Q335" s="634"/>
      <c r="R335" s="253"/>
      <c r="S335" s="632"/>
      <c r="T335" s="633"/>
      <c r="U335" s="633"/>
      <c r="V335" s="634"/>
      <c r="W335" s="253"/>
      <c r="X335" s="633"/>
      <c r="Y335" s="633"/>
      <c r="Z335" s="633"/>
      <c r="AA335" s="633"/>
      <c r="AB335" s="219"/>
    </row>
    <row r="336" spans="1:28" ht="14.25" x14ac:dyDescent="0.2">
      <c r="A336" s="219"/>
      <c r="B336" s="780"/>
      <c r="C336" s="241"/>
      <c r="D336" s="596"/>
      <c r="E336" s="597"/>
      <c r="F336" s="597"/>
      <c r="G336" s="598"/>
      <c r="H336" s="253"/>
      <c r="I336" s="596"/>
      <c r="J336" s="597"/>
      <c r="K336" s="597"/>
      <c r="L336" s="598"/>
      <c r="M336" s="253"/>
      <c r="N336" s="596"/>
      <c r="O336" s="597"/>
      <c r="P336" s="597"/>
      <c r="Q336" s="598"/>
      <c r="R336" s="253"/>
      <c r="S336" s="596"/>
      <c r="T336" s="597"/>
      <c r="U336" s="597"/>
      <c r="V336" s="598"/>
      <c r="W336" s="253"/>
      <c r="X336" s="633"/>
      <c r="Y336" s="633"/>
      <c r="Z336" s="633"/>
      <c r="AA336" s="633"/>
      <c r="AB336" s="219"/>
    </row>
    <row r="337" spans="1:28" ht="15" x14ac:dyDescent="0.25">
      <c r="A337" s="219"/>
      <c r="B337" s="780"/>
      <c r="C337" s="241"/>
      <c r="D337" s="620" t="s">
        <v>420</v>
      </c>
      <c r="E337" s="621"/>
      <c r="F337" s="621"/>
      <c r="G337" s="622"/>
      <c r="H337" s="253"/>
      <c r="I337" s="620" t="s">
        <v>191</v>
      </c>
      <c r="J337" s="621"/>
      <c r="K337" s="621"/>
      <c r="L337" s="622"/>
      <c r="M337" s="253"/>
      <c r="N337" s="599" t="s">
        <v>380</v>
      </c>
      <c r="O337" s="600"/>
      <c r="P337" s="600"/>
      <c r="Q337" s="601"/>
      <c r="R337" s="253"/>
      <c r="S337" s="620" t="s">
        <v>229</v>
      </c>
      <c r="T337" s="621"/>
      <c r="U337" s="621"/>
      <c r="V337" s="622"/>
      <c r="W337" s="253"/>
      <c r="X337" s="620" t="s">
        <v>558</v>
      </c>
      <c r="Y337" s="621"/>
      <c r="Z337" s="621"/>
      <c r="AA337" s="622"/>
      <c r="AB337" s="219"/>
    </row>
    <row r="338" spans="1:28" s="175" customFormat="1" ht="27" customHeight="1" thickBot="1" x14ac:dyDescent="0.3">
      <c r="A338" s="224"/>
      <c r="B338" s="780"/>
      <c r="C338" s="241"/>
      <c r="D338" s="602" t="s">
        <v>797</v>
      </c>
      <c r="E338" s="603"/>
      <c r="F338" s="603"/>
      <c r="G338" s="606"/>
      <c r="H338" s="266"/>
      <c r="I338" s="602" t="s">
        <v>645</v>
      </c>
      <c r="J338" s="603"/>
      <c r="K338" s="603"/>
      <c r="L338" s="606"/>
      <c r="M338" s="266"/>
      <c r="N338" s="602" t="s">
        <v>647</v>
      </c>
      <c r="O338" s="603"/>
      <c r="P338" s="603"/>
      <c r="Q338" s="606"/>
      <c r="R338" s="266"/>
      <c r="S338" s="602" t="s">
        <v>646</v>
      </c>
      <c r="T338" s="603"/>
      <c r="U338" s="603"/>
      <c r="V338" s="606"/>
      <c r="W338" s="266"/>
      <c r="X338" s="626" t="s">
        <v>648</v>
      </c>
      <c r="Y338" s="627"/>
      <c r="Z338" s="627"/>
      <c r="AA338" s="628"/>
      <c r="AB338" s="224"/>
    </row>
    <row r="339" spans="1:28" ht="16.149999999999999" customHeight="1" thickBot="1" x14ac:dyDescent="0.3">
      <c r="A339" s="219"/>
      <c r="B339" s="780"/>
      <c r="C339" s="241"/>
      <c r="D339" s="635">
        <v>3.5</v>
      </c>
      <c r="E339" s="636"/>
      <c r="F339" s="643">
        <v>0</v>
      </c>
      <c r="G339" s="644"/>
      <c r="H339" s="253"/>
      <c r="I339" s="635">
        <v>7.25</v>
      </c>
      <c r="J339" s="636"/>
      <c r="K339" s="643">
        <v>0</v>
      </c>
      <c r="L339" s="644"/>
      <c r="M339" s="253"/>
      <c r="N339" s="623">
        <v>1.5</v>
      </c>
      <c r="O339" s="773"/>
      <c r="P339" s="774">
        <v>0</v>
      </c>
      <c r="Q339" s="775"/>
      <c r="R339" s="253"/>
      <c r="S339" s="635">
        <v>1.5</v>
      </c>
      <c r="T339" s="636"/>
      <c r="U339" s="643">
        <v>0</v>
      </c>
      <c r="V339" s="644"/>
      <c r="W339" s="253"/>
      <c r="X339" s="629">
        <v>3.95</v>
      </c>
      <c r="Y339" s="630"/>
      <c r="Z339" s="645">
        <v>0</v>
      </c>
      <c r="AA339" s="795"/>
      <c r="AB339" s="219"/>
    </row>
    <row r="340" spans="1:28" s="460" customFormat="1" ht="16.149999999999999" customHeight="1" x14ac:dyDescent="0.2">
      <c r="A340" s="456"/>
      <c r="B340" s="780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5" customHeight="1" x14ac:dyDescent="0.2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4.25" x14ac:dyDescent="0.2">
      <c r="A342" s="219"/>
      <c r="B342" s="780" t="s">
        <v>166</v>
      </c>
      <c r="C342" s="241"/>
      <c r="D342" s="617"/>
      <c r="E342" s="618"/>
      <c r="F342" s="618"/>
      <c r="G342" s="619"/>
      <c r="H342" s="253"/>
      <c r="I342" s="617"/>
      <c r="J342" s="618"/>
      <c r="K342" s="618"/>
      <c r="L342" s="619"/>
      <c r="M342" s="253"/>
      <c r="N342" s="617"/>
      <c r="O342" s="618"/>
      <c r="P342" s="618"/>
      <c r="Q342" s="619"/>
      <c r="R342" s="253"/>
      <c r="S342" s="700"/>
      <c r="T342" s="701"/>
      <c r="U342" s="701"/>
      <c r="V342" s="702"/>
      <c r="W342" s="556"/>
      <c r="X342" s="700"/>
      <c r="Y342" s="701"/>
      <c r="Z342" s="701"/>
      <c r="AA342" s="702"/>
      <c r="AB342" s="219"/>
    </row>
    <row r="343" spans="1:28" ht="14.25" x14ac:dyDescent="0.2">
      <c r="A343" s="219"/>
      <c r="B343" s="780"/>
      <c r="C343" s="241"/>
      <c r="D343" s="632"/>
      <c r="E343" s="633"/>
      <c r="F343" s="633"/>
      <c r="G343" s="634"/>
      <c r="H343" s="253"/>
      <c r="I343" s="632"/>
      <c r="J343" s="633"/>
      <c r="K343" s="633"/>
      <c r="L343" s="634"/>
      <c r="M343" s="253"/>
      <c r="N343" s="632"/>
      <c r="O343" s="633"/>
      <c r="P343" s="633"/>
      <c r="Q343" s="634"/>
      <c r="R343" s="253"/>
      <c r="S343" s="667"/>
      <c r="T343" s="668"/>
      <c r="U343" s="668"/>
      <c r="V343" s="669"/>
      <c r="W343" s="556"/>
      <c r="X343" s="667"/>
      <c r="Y343" s="668"/>
      <c r="Z343" s="668"/>
      <c r="AA343" s="669"/>
      <c r="AB343" s="219"/>
    </row>
    <row r="344" spans="1:28" ht="14.25" x14ac:dyDescent="0.2">
      <c r="A344" s="219"/>
      <c r="B344" s="780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4.25" x14ac:dyDescent="0.2">
      <c r="A345" s="219"/>
      <c r="B345" s="780"/>
      <c r="C345" s="241"/>
      <c r="D345" s="632"/>
      <c r="E345" s="633"/>
      <c r="F345" s="633"/>
      <c r="G345" s="634"/>
      <c r="H345" s="253"/>
      <c r="I345" s="632"/>
      <c r="J345" s="633"/>
      <c r="K345" s="633"/>
      <c r="L345" s="634"/>
      <c r="M345" s="253"/>
      <c r="N345" s="632"/>
      <c r="O345" s="633"/>
      <c r="P345" s="633"/>
      <c r="Q345" s="634"/>
      <c r="R345" s="253"/>
      <c r="S345" s="667"/>
      <c r="T345" s="668"/>
      <c r="U345" s="668"/>
      <c r="V345" s="669"/>
      <c r="W345" s="556"/>
      <c r="X345" s="667"/>
      <c r="Y345" s="668"/>
      <c r="Z345" s="668"/>
      <c r="AA345" s="669"/>
      <c r="AB345" s="219"/>
    </row>
    <row r="346" spans="1:28" ht="14.25" x14ac:dyDescent="0.2">
      <c r="A346" s="219"/>
      <c r="B346" s="780"/>
      <c r="C346" s="241"/>
      <c r="D346" s="632"/>
      <c r="E346" s="633"/>
      <c r="F346" s="633"/>
      <c r="G346" s="634"/>
      <c r="H346" s="253"/>
      <c r="I346" s="632"/>
      <c r="J346" s="633"/>
      <c r="K346" s="633"/>
      <c r="L346" s="634"/>
      <c r="M346" s="253"/>
      <c r="N346" s="632"/>
      <c r="O346" s="633"/>
      <c r="P346" s="633"/>
      <c r="Q346" s="634"/>
      <c r="R346" s="253"/>
      <c r="S346" s="667"/>
      <c r="T346" s="668"/>
      <c r="U346" s="668"/>
      <c r="V346" s="669"/>
      <c r="W346" s="556"/>
      <c r="X346" s="667"/>
      <c r="Y346" s="668"/>
      <c r="Z346" s="668"/>
      <c r="AA346" s="669"/>
      <c r="AB346" s="219"/>
    </row>
    <row r="347" spans="1:28" ht="14.25" x14ac:dyDescent="0.2">
      <c r="A347" s="219"/>
      <c r="B347" s="780"/>
      <c r="C347" s="241"/>
      <c r="D347" s="596"/>
      <c r="E347" s="597"/>
      <c r="F347" s="597"/>
      <c r="G347" s="598"/>
      <c r="H347" s="253"/>
      <c r="I347" s="596"/>
      <c r="J347" s="597"/>
      <c r="K347" s="597"/>
      <c r="L347" s="598"/>
      <c r="M347" s="253"/>
      <c r="N347" s="596"/>
      <c r="O347" s="597"/>
      <c r="P347" s="597"/>
      <c r="Q347" s="598"/>
      <c r="R347" s="253"/>
      <c r="S347" s="703"/>
      <c r="T347" s="704"/>
      <c r="U347" s="704"/>
      <c r="V347" s="705"/>
      <c r="W347" s="556"/>
      <c r="X347" s="703"/>
      <c r="Y347" s="704"/>
      <c r="Z347" s="704"/>
      <c r="AA347" s="705"/>
      <c r="AB347" s="219"/>
    </row>
    <row r="348" spans="1:28" ht="14.1" customHeight="1" x14ac:dyDescent="0.25">
      <c r="A348" s="219"/>
      <c r="B348" s="780"/>
      <c r="C348" s="241"/>
      <c r="D348" s="620" t="s">
        <v>192</v>
      </c>
      <c r="E348" s="621"/>
      <c r="F348" s="621"/>
      <c r="G348" s="622"/>
      <c r="H348" s="253"/>
      <c r="I348" s="620" t="s">
        <v>185</v>
      </c>
      <c r="J348" s="621"/>
      <c r="K348" s="621"/>
      <c r="L348" s="622"/>
      <c r="M348" s="253"/>
      <c r="N348" s="620" t="s">
        <v>183</v>
      </c>
      <c r="O348" s="621"/>
      <c r="P348" s="621"/>
      <c r="Q348" s="622"/>
      <c r="R348" s="253"/>
      <c r="S348" s="664" t="s">
        <v>969</v>
      </c>
      <c r="T348" s="665"/>
      <c r="U348" s="665"/>
      <c r="V348" s="666"/>
      <c r="W348" s="556"/>
      <c r="X348" s="664" t="s">
        <v>970</v>
      </c>
      <c r="Y348" s="665"/>
      <c r="Z348" s="665"/>
      <c r="AA348" s="666"/>
      <c r="AB348" s="219"/>
    </row>
    <row r="349" spans="1:28" s="175" customFormat="1" ht="27" customHeight="1" x14ac:dyDescent="0.25">
      <c r="A349" s="224"/>
      <c r="B349" s="780"/>
      <c r="C349" s="241"/>
      <c r="D349" s="602" t="s">
        <v>649</v>
      </c>
      <c r="E349" s="603"/>
      <c r="F349" s="603"/>
      <c r="G349" s="606"/>
      <c r="H349" s="266"/>
      <c r="I349" s="602" t="s">
        <v>644</v>
      </c>
      <c r="J349" s="603"/>
      <c r="K349" s="603"/>
      <c r="L349" s="606"/>
      <c r="M349" s="266"/>
      <c r="N349" s="602" t="s">
        <v>236</v>
      </c>
      <c r="O349" s="603"/>
      <c r="P349" s="603"/>
      <c r="Q349" s="606"/>
      <c r="R349" s="266"/>
      <c r="S349" s="694" t="s">
        <v>971</v>
      </c>
      <c r="T349" s="695"/>
      <c r="U349" s="695"/>
      <c r="V349" s="975"/>
      <c r="W349" s="557"/>
      <c r="X349" s="694" t="s">
        <v>972</v>
      </c>
      <c r="Y349" s="695"/>
      <c r="Z349" s="695"/>
      <c r="AA349" s="975"/>
      <c r="AB349" s="224"/>
    </row>
    <row r="350" spans="1:28" ht="16.149999999999999" customHeight="1" x14ac:dyDescent="0.25">
      <c r="A350" s="219"/>
      <c r="B350" s="780"/>
      <c r="C350" s="241"/>
      <c r="D350" s="854">
        <v>0.9</v>
      </c>
      <c r="E350" s="855"/>
      <c r="F350" s="643">
        <v>0</v>
      </c>
      <c r="G350" s="644"/>
      <c r="H350" s="253"/>
      <c r="I350" s="635">
        <v>2.5</v>
      </c>
      <c r="J350" s="636"/>
      <c r="K350" s="643">
        <v>0</v>
      </c>
      <c r="L350" s="644"/>
      <c r="M350" s="253"/>
      <c r="N350" s="635">
        <v>9</v>
      </c>
      <c r="O350" s="636"/>
      <c r="P350" s="643">
        <v>0</v>
      </c>
      <c r="Q350" s="644"/>
      <c r="R350" s="253"/>
      <c r="S350" s="796">
        <v>1375</v>
      </c>
      <c r="T350" s="797"/>
      <c r="U350" s="643">
        <v>0</v>
      </c>
      <c r="V350" s="644"/>
      <c r="W350" s="556"/>
      <c r="X350" s="796">
        <v>930</v>
      </c>
      <c r="Y350" s="797"/>
      <c r="Z350" s="643">
        <v>0</v>
      </c>
      <c r="AA350" s="644"/>
      <c r="AB350" s="219"/>
    </row>
    <row r="351" spans="1:28" s="460" customFormat="1" ht="15.95" customHeight="1" x14ac:dyDescent="0.2">
      <c r="A351" s="456"/>
      <c r="B351" s="780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973</v>
      </c>
      <c r="V351" s="561">
        <v>1</v>
      </c>
      <c r="W351" s="562"/>
      <c r="X351" s="563">
        <v>985</v>
      </c>
      <c r="Y351" s="559"/>
      <c r="Z351" s="560" t="s">
        <v>973</v>
      </c>
      <c r="AA351" s="561">
        <v>1</v>
      </c>
      <c r="AB351" s="456"/>
    </row>
    <row r="352" spans="1:28" s="173" customFormat="1" ht="10.15" customHeight="1" x14ac:dyDescent="0.2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">
      <c r="A353" s="220"/>
      <c r="B353" s="780" t="s">
        <v>463</v>
      </c>
      <c r="C353" s="241"/>
      <c r="D353" s="617"/>
      <c r="E353" s="618"/>
      <c r="F353" s="618"/>
      <c r="G353" s="619"/>
      <c r="H353" s="253"/>
      <c r="I353" s="617"/>
      <c r="J353" s="618"/>
      <c r="K353" s="618"/>
      <c r="L353" s="619"/>
      <c r="M353" s="253"/>
      <c r="N353" s="617"/>
      <c r="O353" s="618"/>
      <c r="P353" s="618"/>
      <c r="Q353" s="619"/>
      <c r="R353" s="253"/>
      <c r="S353" s="617"/>
      <c r="T353" s="618"/>
      <c r="U353" s="618"/>
      <c r="V353" s="619"/>
      <c r="W353" s="253"/>
      <c r="X353" s="617"/>
      <c r="Y353" s="618"/>
      <c r="Z353" s="618"/>
      <c r="AA353" s="619"/>
      <c r="AB353" s="220"/>
    </row>
    <row r="354" spans="1:28" s="173" customFormat="1" ht="13.5" customHeight="1" x14ac:dyDescent="0.2">
      <c r="A354" s="220"/>
      <c r="B354" s="780"/>
      <c r="C354" s="241"/>
      <c r="D354" s="632"/>
      <c r="E354" s="633"/>
      <c r="F354" s="633"/>
      <c r="G354" s="634"/>
      <c r="H354" s="253"/>
      <c r="I354" s="632"/>
      <c r="J354" s="633"/>
      <c r="K354" s="633"/>
      <c r="L354" s="634"/>
      <c r="M354" s="253"/>
      <c r="N354" s="632"/>
      <c r="O354" s="633"/>
      <c r="P354" s="633"/>
      <c r="Q354" s="634"/>
      <c r="R354" s="253"/>
      <c r="S354" s="632"/>
      <c r="T354" s="633"/>
      <c r="U354" s="633"/>
      <c r="V354" s="634"/>
      <c r="W354" s="253"/>
      <c r="X354" s="632"/>
      <c r="Y354" s="633"/>
      <c r="Z354" s="633"/>
      <c r="AA354" s="634"/>
      <c r="AB354" s="220"/>
    </row>
    <row r="355" spans="1:28" s="173" customFormat="1" ht="13.5" customHeight="1" x14ac:dyDescent="0.2">
      <c r="A355" s="220"/>
      <c r="B355" s="780"/>
      <c r="C355" s="241"/>
      <c r="D355" s="632"/>
      <c r="E355" s="633"/>
      <c r="F355" s="633"/>
      <c r="G355" s="634"/>
      <c r="H355" s="253"/>
      <c r="I355" s="632"/>
      <c r="J355" s="633"/>
      <c r="K355" s="633"/>
      <c r="L355" s="634"/>
      <c r="M355" s="253"/>
      <c r="N355" s="632"/>
      <c r="O355" s="633"/>
      <c r="P355" s="633"/>
      <c r="Q355" s="634"/>
      <c r="R355" s="253"/>
      <c r="S355" s="632"/>
      <c r="T355" s="633"/>
      <c r="U355" s="633"/>
      <c r="V355" s="634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">
      <c r="A356" s="220"/>
      <c r="B356" s="780"/>
      <c r="C356" s="241"/>
      <c r="D356" s="632"/>
      <c r="E356" s="633"/>
      <c r="F356" s="633"/>
      <c r="G356" s="634"/>
      <c r="H356" s="253"/>
      <c r="I356" s="632"/>
      <c r="J356" s="633"/>
      <c r="K356" s="633"/>
      <c r="L356" s="634"/>
      <c r="M356" s="253"/>
      <c r="N356" s="632"/>
      <c r="O356" s="633"/>
      <c r="P356" s="633"/>
      <c r="Q356" s="634"/>
      <c r="R356" s="253"/>
      <c r="S356" s="632"/>
      <c r="T356" s="633"/>
      <c r="U356" s="633"/>
      <c r="V356" s="634"/>
      <c r="W356" s="253"/>
      <c r="X356" s="632"/>
      <c r="Y356" s="633"/>
      <c r="Z356" s="633"/>
      <c r="AA356" s="634"/>
      <c r="AB356" s="220"/>
    </row>
    <row r="357" spans="1:28" s="173" customFormat="1" ht="13.5" customHeight="1" x14ac:dyDescent="0.2">
      <c r="A357" s="220"/>
      <c r="B357" s="780"/>
      <c r="C357" s="241"/>
      <c r="D357" s="632"/>
      <c r="E357" s="633"/>
      <c r="F357" s="633"/>
      <c r="G357" s="634"/>
      <c r="H357" s="253"/>
      <c r="I357" s="632"/>
      <c r="J357" s="633"/>
      <c r="K357" s="633"/>
      <c r="L357" s="634"/>
      <c r="M357" s="253"/>
      <c r="N357" s="632"/>
      <c r="O357" s="633"/>
      <c r="P357" s="633"/>
      <c r="Q357" s="634"/>
      <c r="R357" s="253"/>
      <c r="S357" s="632"/>
      <c r="T357" s="633"/>
      <c r="U357" s="633"/>
      <c r="V357" s="634"/>
      <c r="W357" s="253"/>
      <c r="X357" s="632"/>
      <c r="Y357" s="633"/>
      <c r="Z357" s="633"/>
      <c r="AA357" s="634"/>
      <c r="AB357" s="220"/>
    </row>
    <row r="358" spans="1:28" s="173" customFormat="1" ht="13.5" customHeight="1" x14ac:dyDescent="0.2">
      <c r="A358" s="220"/>
      <c r="B358" s="780"/>
      <c r="C358" s="241"/>
      <c r="D358" s="596"/>
      <c r="E358" s="597"/>
      <c r="F358" s="597"/>
      <c r="G358" s="598"/>
      <c r="H358" s="253"/>
      <c r="I358" s="596"/>
      <c r="J358" s="597"/>
      <c r="K358" s="597"/>
      <c r="L358" s="598"/>
      <c r="M358" s="253"/>
      <c r="N358" s="596"/>
      <c r="O358" s="597"/>
      <c r="P358" s="597"/>
      <c r="Q358" s="598"/>
      <c r="R358" s="253"/>
      <c r="S358" s="596"/>
      <c r="T358" s="597"/>
      <c r="U358" s="597"/>
      <c r="V358" s="598"/>
      <c r="W358" s="253"/>
      <c r="X358" s="596"/>
      <c r="Y358" s="597"/>
      <c r="Z358" s="597"/>
      <c r="AA358" s="598"/>
      <c r="AB358" s="220"/>
    </row>
    <row r="359" spans="1:28" s="173" customFormat="1" ht="13.5" customHeight="1" x14ac:dyDescent="0.25">
      <c r="A359" s="220"/>
      <c r="B359" s="780"/>
      <c r="C359" s="241"/>
      <c r="D359" s="620" t="s">
        <v>462</v>
      </c>
      <c r="E359" s="621"/>
      <c r="F359" s="621"/>
      <c r="G359" s="622"/>
      <c r="H359" s="253"/>
      <c r="I359" s="620" t="s">
        <v>460</v>
      </c>
      <c r="J359" s="621"/>
      <c r="K359" s="621"/>
      <c r="L359" s="622"/>
      <c r="M359" s="253"/>
      <c r="N359" s="620" t="s">
        <v>461</v>
      </c>
      <c r="O359" s="621"/>
      <c r="P359" s="621"/>
      <c r="Q359" s="622"/>
      <c r="R359" s="253"/>
      <c r="S359" s="620" t="s">
        <v>459</v>
      </c>
      <c r="T359" s="621"/>
      <c r="U359" s="621"/>
      <c r="V359" s="622"/>
      <c r="W359" s="253"/>
      <c r="X359" s="757" t="s">
        <v>184</v>
      </c>
      <c r="Y359" s="758"/>
      <c r="Z359" s="758"/>
      <c r="AA359" s="759"/>
      <c r="AB359" s="220"/>
    </row>
    <row r="360" spans="1:28" s="173" customFormat="1" ht="27" customHeight="1" x14ac:dyDescent="0.2">
      <c r="A360" s="220"/>
      <c r="B360" s="780"/>
      <c r="C360" s="241"/>
      <c r="D360" s="602" t="s">
        <v>870</v>
      </c>
      <c r="E360" s="603"/>
      <c r="F360" s="603"/>
      <c r="G360" s="606"/>
      <c r="H360" s="266"/>
      <c r="I360" s="602" t="s">
        <v>871</v>
      </c>
      <c r="J360" s="603"/>
      <c r="K360" s="603"/>
      <c r="L360" s="606"/>
      <c r="M360" s="266"/>
      <c r="N360" s="602" t="s">
        <v>872</v>
      </c>
      <c r="O360" s="603"/>
      <c r="P360" s="603"/>
      <c r="Q360" s="606"/>
      <c r="R360" s="253"/>
      <c r="S360" s="602" t="s">
        <v>651</v>
      </c>
      <c r="T360" s="603"/>
      <c r="U360" s="603"/>
      <c r="V360" s="606"/>
      <c r="W360" s="253"/>
      <c r="X360" s="602" t="s">
        <v>650</v>
      </c>
      <c r="Y360" s="603"/>
      <c r="Z360" s="603"/>
      <c r="AA360" s="606"/>
      <c r="AB360" s="220"/>
    </row>
    <row r="361" spans="1:28" s="173" customFormat="1" ht="16.149999999999999" customHeight="1" x14ac:dyDescent="0.25">
      <c r="A361" s="220"/>
      <c r="B361" s="780"/>
      <c r="C361" s="241"/>
      <c r="D361" s="635">
        <v>24</v>
      </c>
      <c r="E361" s="636"/>
      <c r="F361" s="643">
        <v>0</v>
      </c>
      <c r="G361" s="644"/>
      <c r="H361" s="253"/>
      <c r="I361" s="635">
        <v>24</v>
      </c>
      <c r="J361" s="636"/>
      <c r="K361" s="643">
        <v>0</v>
      </c>
      <c r="L361" s="644"/>
      <c r="M361" s="253"/>
      <c r="N361" s="635">
        <v>26</v>
      </c>
      <c r="O361" s="636"/>
      <c r="P361" s="643">
        <v>0</v>
      </c>
      <c r="Q361" s="644"/>
      <c r="R361" s="253"/>
      <c r="S361" s="635">
        <v>0.6</v>
      </c>
      <c r="T361" s="636"/>
      <c r="U361" s="643">
        <v>0</v>
      </c>
      <c r="V361" s="644"/>
      <c r="W361" s="253"/>
      <c r="X361" s="613">
        <v>7.5</v>
      </c>
      <c r="Y361" s="614"/>
      <c r="Z361" s="615">
        <v>0</v>
      </c>
      <c r="AA361" s="616"/>
      <c r="AB361" s="220"/>
    </row>
    <row r="362" spans="1:28" s="460" customFormat="1" ht="15.95" customHeight="1" x14ac:dyDescent="0.2">
      <c r="A362" s="456"/>
      <c r="B362" s="780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5" customHeight="1" x14ac:dyDescent="0.2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" customHeight="1" x14ac:dyDescent="0.2">
      <c r="A364" s="219"/>
      <c r="B364" s="219"/>
      <c r="C364" s="219"/>
      <c r="D364" s="617"/>
      <c r="E364" s="618"/>
      <c r="F364" s="618"/>
      <c r="G364" s="619"/>
      <c r="H364" s="253"/>
      <c r="I364" s="682"/>
      <c r="J364" s="683"/>
      <c r="K364" s="683"/>
      <c r="L364" s="684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" customHeight="1" x14ac:dyDescent="0.2">
      <c r="A365" s="219"/>
      <c r="B365" s="219"/>
      <c r="C365" s="219"/>
      <c r="D365" s="632"/>
      <c r="E365" s="633"/>
      <c r="F365" s="633"/>
      <c r="G365" s="634"/>
      <c r="H365" s="253"/>
      <c r="I365" s="685"/>
      <c r="J365" s="686"/>
      <c r="K365" s="686"/>
      <c r="L365" s="687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" customHeight="1" x14ac:dyDescent="0.2">
      <c r="A366" s="219"/>
      <c r="B366" s="219"/>
      <c r="C366" s="219"/>
      <c r="D366" s="632"/>
      <c r="E366" s="633"/>
      <c r="F366" s="633"/>
      <c r="G366" s="634"/>
      <c r="H366" s="253"/>
      <c r="I366" s="685"/>
      <c r="J366" s="686"/>
      <c r="K366" s="686"/>
      <c r="L366" s="687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" customHeight="1" x14ac:dyDescent="0.2">
      <c r="A367" s="219"/>
      <c r="B367" s="219"/>
      <c r="C367" s="219"/>
      <c r="D367" s="632"/>
      <c r="E367" s="633"/>
      <c r="F367" s="633"/>
      <c r="G367" s="634"/>
      <c r="H367" s="253"/>
      <c r="I367" s="685"/>
      <c r="J367" s="686"/>
      <c r="K367" s="686"/>
      <c r="L367" s="687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" customHeight="1" x14ac:dyDescent="0.2">
      <c r="A368" s="219"/>
      <c r="B368" s="219"/>
      <c r="C368" s="219"/>
      <c r="D368" s="632"/>
      <c r="E368" s="633"/>
      <c r="F368" s="633"/>
      <c r="G368" s="634"/>
      <c r="H368" s="253"/>
      <c r="I368" s="685"/>
      <c r="J368" s="686"/>
      <c r="K368" s="686"/>
      <c r="L368" s="687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" customHeight="1" x14ac:dyDescent="0.2">
      <c r="A369" s="219"/>
      <c r="B369" s="219"/>
      <c r="C369" s="219"/>
      <c r="D369" s="596"/>
      <c r="E369" s="597"/>
      <c r="F369" s="597"/>
      <c r="G369" s="598"/>
      <c r="H369" s="253"/>
      <c r="I369" s="688"/>
      <c r="J369" s="689"/>
      <c r="K369" s="689"/>
      <c r="L369" s="690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" customHeight="1" x14ac:dyDescent="0.25">
      <c r="A370" s="219"/>
      <c r="B370" s="219"/>
      <c r="C370" s="219"/>
      <c r="D370" s="599" t="s">
        <v>523</v>
      </c>
      <c r="E370" s="600"/>
      <c r="F370" s="600"/>
      <c r="G370" s="601"/>
      <c r="H370" s="253"/>
      <c r="I370" s="599" t="s">
        <v>524</v>
      </c>
      <c r="J370" s="600"/>
      <c r="K370" s="600"/>
      <c r="L370" s="601"/>
      <c r="M370" s="253"/>
      <c r="N370" s="599" t="s">
        <v>525</v>
      </c>
      <c r="O370" s="600"/>
      <c r="P370" s="600"/>
      <c r="Q370" s="601"/>
      <c r="R370" s="253"/>
      <c r="S370" s="599" t="s">
        <v>526</v>
      </c>
      <c r="T370" s="600"/>
      <c r="U370" s="600"/>
      <c r="V370" s="601"/>
      <c r="W370" s="253"/>
      <c r="X370" s="253"/>
      <c r="Y370" s="253"/>
      <c r="Z370" s="253"/>
      <c r="AA370" s="253"/>
      <c r="AB370" s="219"/>
    </row>
    <row r="371" spans="1:28" ht="27" customHeight="1" x14ac:dyDescent="0.2">
      <c r="A371" s="219"/>
      <c r="B371" s="219"/>
      <c r="C371" s="219"/>
      <c r="D371" s="602" t="s">
        <v>527</v>
      </c>
      <c r="E371" s="603"/>
      <c r="F371" s="604"/>
      <c r="G371" s="605"/>
      <c r="H371" s="266"/>
      <c r="I371" s="602" t="s">
        <v>528</v>
      </c>
      <c r="J371" s="603"/>
      <c r="K371" s="604"/>
      <c r="L371" s="605"/>
      <c r="M371" s="266"/>
      <c r="N371" s="602" t="s">
        <v>529</v>
      </c>
      <c r="O371" s="603"/>
      <c r="P371" s="604"/>
      <c r="Q371" s="605"/>
      <c r="R371" s="266"/>
      <c r="S371" s="602" t="s">
        <v>530</v>
      </c>
      <c r="T371" s="603"/>
      <c r="U371" s="604"/>
      <c r="V371" s="605"/>
      <c r="W371" s="266"/>
      <c r="X371" s="253"/>
      <c r="Y371" s="253"/>
      <c r="Z371" s="253"/>
      <c r="AA371" s="253"/>
      <c r="AB371" s="219"/>
    </row>
    <row r="372" spans="1:28" ht="16.149999999999999" customHeight="1" x14ac:dyDescent="0.25">
      <c r="A372" s="219"/>
      <c r="B372" s="219"/>
      <c r="C372" s="219"/>
      <c r="D372" s="613">
        <v>47</v>
      </c>
      <c r="E372" s="614"/>
      <c r="F372" s="624">
        <v>0</v>
      </c>
      <c r="G372" s="625"/>
      <c r="H372" s="253"/>
      <c r="I372" s="613">
        <v>100</v>
      </c>
      <c r="J372" s="614"/>
      <c r="K372" s="624">
        <v>0</v>
      </c>
      <c r="L372" s="625"/>
      <c r="M372" s="253"/>
      <c r="N372" s="613">
        <v>48</v>
      </c>
      <c r="O372" s="614"/>
      <c r="P372" s="624">
        <v>0</v>
      </c>
      <c r="Q372" s="625"/>
      <c r="R372" s="253"/>
      <c r="S372" s="613">
        <v>155</v>
      </c>
      <c r="T372" s="614"/>
      <c r="U372" s="624">
        <v>0</v>
      </c>
      <c r="V372" s="625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">
      <c r="A374" s="378"/>
      <c r="B374" s="232"/>
      <c r="C374" s="232"/>
      <c r="D374" s="772" t="s">
        <v>111</v>
      </c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  <c r="T374" s="772"/>
      <c r="U374" s="772"/>
      <c r="V374" s="772"/>
      <c r="W374" s="772"/>
      <c r="X374" s="772"/>
      <c r="Y374" s="772"/>
      <c r="Z374" s="772"/>
      <c r="AA374" s="772"/>
      <c r="AB374" s="232"/>
    </row>
    <row r="375" spans="1:28" s="176" customFormat="1" ht="19.899999999999999" customHeight="1" x14ac:dyDescent="0.3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4.25" x14ac:dyDescent="0.2">
      <c r="A376" s="219"/>
      <c r="B376" s="219"/>
      <c r="C376" s="219"/>
      <c r="D376" s="617"/>
      <c r="E376" s="618"/>
      <c r="F376" s="618"/>
      <c r="G376" s="619"/>
      <c r="H376" s="253"/>
      <c r="I376" s="617"/>
      <c r="J376" s="618"/>
      <c r="K376" s="618"/>
      <c r="L376" s="619"/>
      <c r="M376" s="253"/>
      <c r="N376" s="617"/>
      <c r="O376" s="618"/>
      <c r="P376" s="618"/>
      <c r="Q376" s="619"/>
      <c r="R376" s="253"/>
      <c r="S376" s="617"/>
      <c r="T376" s="618"/>
      <c r="U376" s="618"/>
      <c r="V376" s="619"/>
      <c r="W376" s="250"/>
      <c r="X376" s="612"/>
      <c r="Y376" s="612"/>
      <c r="Z376" s="612"/>
      <c r="AA376" s="612"/>
      <c r="AB376" s="219"/>
    </row>
    <row r="377" spans="1:28" ht="14.25" x14ac:dyDescent="0.2">
      <c r="A377" s="219"/>
      <c r="B377" s="219"/>
      <c r="C377" s="219"/>
      <c r="D377" s="632"/>
      <c r="E377" s="633"/>
      <c r="F377" s="633"/>
      <c r="G377" s="634"/>
      <c r="H377" s="253"/>
      <c r="I377" s="632"/>
      <c r="J377" s="633"/>
      <c r="K377" s="633"/>
      <c r="L377" s="634"/>
      <c r="M377" s="253"/>
      <c r="N377" s="632"/>
      <c r="O377" s="633"/>
      <c r="P377" s="633"/>
      <c r="Q377" s="634"/>
      <c r="R377" s="253"/>
      <c r="S377" s="632"/>
      <c r="T377" s="633"/>
      <c r="U377" s="633"/>
      <c r="V377" s="634"/>
      <c r="W377" s="250"/>
      <c r="X377" s="612"/>
      <c r="Y377" s="612"/>
      <c r="Z377" s="612"/>
      <c r="AA377" s="612"/>
      <c r="AB377" s="219"/>
    </row>
    <row r="378" spans="1:28" ht="14.25" x14ac:dyDescent="0.2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4.25" x14ac:dyDescent="0.2">
      <c r="A379" s="219"/>
      <c r="B379" s="219"/>
      <c r="C379" s="219"/>
      <c r="D379" s="632"/>
      <c r="E379" s="633"/>
      <c r="F379" s="633"/>
      <c r="G379" s="634"/>
      <c r="H379" s="253"/>
      <c r="I379" s="632"/>
      <c r="J379" s="633"/>
      <c r="K379" s="633"/>
      <c r="L379" s="634"/>
      <c r="M379" s="253"/>
      <c r="N379" s="632"/>
      <c r="O379" s="633"/>
      <c r="P379" s="633"/>
      <c r="Q379" s="634"/>
      <c r="R379" s="253"/>
      <c r="S379" s="632"/>
      <c r="T379" s="633"/>
      <c r="U379" s="633"/>
      <c r="V379" s="634"/>
      <c r="W379" s="250"/>
      <c r="X379" s="612"/>
      <c r="Y379" s="612"/>
      <c r="Z379" s="612"/>
      <c r="AA379" s="612"/>
      <c r="AB379" s="219"/>
    </row>
    <row r="380" spans="1:28" ht="14.25" x14ac:dyDescent="0.2">
      <c r="A380" s="219"/>
      <c r="B380" s="219"/>
      <c r="C380" s="219"/>
      <c r="D380" s="632"/>
      <c r="E380" s="633"/>
      <c r="F380" s="633"/>
      <c r="G380" s="634"/>
      <c r="H380" s="253"/>
      <c r="I380" s="632"/>
      <c r="J380" s="633"/>
      <c r="K380" s="633"/>
      <c r="L380" s="634"/>
      <c r="M380" s="253"/>
      <c r="N380" s="632"/>
      <c r="O380" s="633"/>
      <c r="P380" s="633"/>
      <c r="Q380" s="634"/>
      <c r="R380" s="253"/>
      <c r="S380" s="632"/>
      <c r="T380" s="633"/>
      <c r="U380" s="633"/>
      <c r="V380" s="634"/>
      <c r="W380" s="250"/>
      <c r="X380" s="612"/>
      <c r="Y380" s="612"/>
      <c r="Z380" s="612"/>
      <c r="AA380" s="612"/>
      <c r="AB380" s="219"/>
    </row>
    <row r="381" spans="1:28" s="174" customFormat="1" ht="15" x14ac:dyDescent="0.25">
      <c r="A381" s="221"/>
      <c r="B381" s="219"/>
      <c r="C381" s="219"/>
      <c r="D381" s="596"/>
      <c r="E381" s="597"/>
      <c r="F381" s="597"/>
      <c r="G381" s="598"/>
      <c r="H381" s="253"/>
      <c r="I381" s="596"/>
      <c r="J381" s="597"/>
      <c r="K381" s="597"/>
      <c r="L381" s="598"/>
      <c r="M381" s="253"/>
      <c r="N381" s="596"/>
      <c r="O381" s="597"/>
      <c r="P381" s="597"/>
      <c r="Q381" s="598"/>
      <c r="R381" s="253"/>
      <c r="S381" s="596"/>
      <c r="T381" s="597"/>
      <c r="U381" s="597"/>
      <c r="V381" s="598"/>
      <c r="W381" s="250"/>
      <c r="X381" s="612"/>
      <c r="Y381" s="612"/>
      <c r="Z381" s="612"/>
      <c r="AA381" s="612"/>
      <c r="AB381" s="219"/>
    </row>
    <row r="382" spans="1:28" ht="15" x14ac:dyDescent="0.25">
      <c r="A382" s="219"/>
      <c r="B382" s="219"/>
      <c r="C382" s="219"/>
      <c r="D382" s="599" t="s">
        <v>193</v>
      </c>
      <c r="E382" s="600"/>
      <c r="F382" s="600"/>
      <c r="G382" s="601"/>
      <c r="H382" s="253"/>
      <c r="I382" s="599" t="s">
        <v>194</v>
      </c>
      <c r="J382" s="600"/>
      <c r="K382" s="600"/>
      <c r="L382" s="601"/>
      <c r="M382" s="253"/>
      <c r="N382" s="599" t="s">
        <v>561</v>
      </c>
      <c r="O382" s="600"/>
      <c r="P382" s="600"/>
      <c r="Q382" s="601"/>
      <c r="R382" s="253"/>
      <c r="S382" s="599" t="s">
        <v>564</v>
      </c>
      <c r="T382" s="600"/>
      <c r="U382" s="600"/>
      <c r="V382" s="601"/>
      <c r="W382" s="250"/>
      <c r="X382" s="631"/>
      <c r="Y382" s="631"/>
      <c r="Z382" s="631"/>
      <c r="AA382" s="631"/>
      <c r="AB382" s="219"/>
    </row>
    <row r="383" spans="1:28" s="169" customFormat="1" ht="27" customHeight="1" x14ac:dyDescent="0.25">
      <c r="A383" s="226"/>
      <c r="B383" s="224"/>
      <c r="C383" s="224"/>
      <c r="D383" s="602" t="s">
        <v>407</v>
      </c>
      <c r="E383" s="603"/>
      <c r="F383" s="604"/>
      <c r="G383" s="605"/>
      <c r="H383" s="266"/>
      <c r="I383" s="602" t="s">
        <v>513</v>
      </c>
      <c r="J383" s="603"/>
      <c r="K383" s="604"/>
      <c r="L383" s="605"/>
      <c r="M383" s="266"/>
      <c r="N383" s="602" t="s">
        <v>562</v>
      </c>
      <c r="O383" s="603"/>
      <c r="P383" s="604"/>
      <c r="Q383" s="605"/>
      <c r="R383" s="266"/>
      <c r="S383" s="602" t="s">
        <v>563</v>
      </c>
      <c r="T383" s="603"/>
      <c r="U383" s="604"/>
      <c r="V383" s="605"/>
      <c r="W383" s="266"/>
      <c r="X383" s="839"/>
      <c r="Y383" s="839"/>
      <c r="Z383" s="839"/>
      <c r="AA383" s="839"/>
      <c r="AB383" s="224"/>
    </row>
    <row r="384" spans="1:28" ht="16.149999999999999" customHeight="1" x14ac:dyDescent="0.25">
      <c r="A384" s="219"/>
      <c r="B384" s="219"/>
      <c r="C384" s="219"/>
      <c r="D384" s="623">
        <v>210</v>
      </c>
      <c r="E384" s="608"/>
      <c r="F384" s="624">
        <v>0</v>
      </c>
      <c r="G384" s="625"/>
      <c r="H384" s="253"/>
      <c r="I384" s="623">
        <v>110</v>
      </c>
      <c r="J384" s="608"/>
      <c r="K384" s="624">
        <v>0</v>
      </c>
      <c r="L384" s="625"/>
      <c r="M384" s="253"/>
      <c r="N384" s="623">
        <v>170</v>
      </c>
      <c r="O384" s="608"/>
      <c r="P384" s="624">
        <v>0</v>
      </c>
      <c r="Q384" s="625"/>
      <c r="R384" s="253"/>
      <c r="S384" s="623">
        <v>85</v>
      </c>
      <c r="T384" s="608"/>
      <c r="U384" s="624">
        <v>0</v>
      </c>
      <c r="V384" s="625"/>
      <c r="W384" s="250"/>
      <c r="X384" s="807"/>
      <c r="Y384" s="807"/>
      <c r="Z384" s="774"/>
      <c r="AA384" s="774"/>
      <c r="AB384" s="219"/>
    </row>
    <row r="385" spans="1:28" ht="27" customHeight="1" thickBot="1" x14ac:dyDescent="0.25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">
      <c r="A386" s="379"/>
      <c r="B386" s="233"/>
      <c r="C386" s="233"/>
      <c r="D386" s="843" t="s">
        <v>109</v>
      </c>
      <c r="E386" s="843"/>
      <c r="F386" s="843"/>
      <c r="G386" s="843"/>
      <c r="H386" s="843"/>
      <c r="I386" s="843"/>
      <c r="J386" s="843"/>
      <c r="K386" s="843"/>
      <c r="L386" s="843"/>
      <c r="M386" s="843"/>
      <c r="N386" s="843"/>
      <c r="O386" s="843"/>
      <c r="P386" s="843"/>
      <c r="Q386" s="843"/>
      <c r="R386" s="843"/>
      <c r="S386" s="843"/>
      <c r="T386" s="843"/>
      <c r="U386" s="843"/>
      <c r="V386" s="843"/>
      <c r="W386" s="843"/>
      <c r="X386" s="843"/>
      <c r="Y386" s="843"/>
      <c r="Z386" s="843"/>
      <c r="AA386" s="843"/>
      <c r="AB386" s="233"/>
    </row>
    <row r="387" spans="1:28" s="176" customFormat="1" ht="20.65" customHeight="1" x14ac:dyDescent="0.3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4.25" x14ac:dyDescent="0.2">
      <c r="A388" s="219"/>
      <c r="B388" s="842" t="s">
        <v>239</v>
      </c>
      <c r="C388" s="229"/>
      <c r="D388" s="617"/>
      <c r="E388" s="618"/>
      <c r="F388" s="618"/>
      <c r="G388" s="619"/>
      <c r="H388" s="253"/>
      <c r="I388" s="617"/>
      <c r="J388" s="618"/>
      <c r="K388" s="618"/>
      <c r="L388" s="619"/>
      <c r="M388" s="253"/>
      <c r="N388" s="617"/>
      <c r="O388" s="618"/>
      <c r="P388" s="618"/>
      <c r="Q388" s="619"/>
      <c r="R388" s="253"/>
      <c r="S388" s="617"/>
      <c r="T388" s="618"/>
      <c r="U388" s="618"/>
      <c r="V388" s="619"/>
      <c r="W388" s="253"/>
      <c r="X388" s="617"/>
      <c r="Y388" s="618"/>
      <c r="Z388" s="618"/>
      <c r="AA388" s="619"/>
      <c r="AB388" s="219"/>
    </row>
    <row r="389" spans="1:28" ht="14.25" x14ac:dyDescent="0.2">
      <c r="A389" s="219"/>
      <c r="B389" s="842"/>
      <c r="C389" s="229"/>
      <c r="D389" s="632"/>
      <c r="E389" s="633"/>
      <c r="F389" s="633"/>
      <c r="G389" s="634"/>
      <c r="H389" s="253"/>
      <c r="I389" s="632"/>
      <c r="J389" s="633"/>
      <c r="K389" s="633"/>
      <c r="L389" s="634"/>
      <c r="M389" s="253"/>
      <c r="N389" s="632"/>
      <c r="O389" s="633"/>
      <c r="P389" s="633"/>
      <c r="Q389" s="634"/>
      <c r="R389" s="253"/>
      <c r="S389" s="632"/>
      <c r="T389" s="633"/>
      <c r="U389" s="633"/>
      <c r="V389" s="634"/>
      <c r="W389" s="253"/>
      <c r="X389" s="632"/>
      <c r="Y389" s="633"/>
      <c r="Z389" s="633"/>
      <c r="AA389" s="634"/>
      <c r="AB389" s="219"/>
    </row>
    <row r="390" spans="1:28" ht="14.25" x14ac:dyDescent="0.2">
      <c r="A390" s="219"/>
      <c r="B390" s="842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4.25" x14ac:dyDescent="0.2">
      <c r="A391" s="219"/>
      <c r="B391" s="842"/>
      <c r="C391" s="229"/>
      <c r="D391" s="632"/>
      <c r="E391" s="633"/>
      <c r="F391" s="633"/>
      <c r="G391" s="634"/>
      <c r="H391" s="253"/>
      <c r="I391" s="632"/>
      <c r="J391" s="633"/>
      <c r="K391" s="633"/>
      <c r="L391" s="634"/>
      <c r="M391" s="253"/>
      <c r="N391" s="632"/>
      <c r="O391" s="633"/>
      <c r="P391" s="633"/>
      <c r="Q391" s="634"/>
      <c r="R391" s="253"/>
      <c r="S391" s="632"/>
      <c r="T391" s="633"/>
      <c r="U391" s="633"/>
      <c r="V391" s="634"/>
      <c r="W391" s="253"/>
      <c r="X391" s="632"/>
      <c r="Y391" s="633"/>
      <c r="Z391" s="633"/>
      <c r="AA391" s="634"/>
      <c r="AB391" s="219"/>
    </row>
    <row r="392" spans="1:28" ht="14.25" x14ac:dyDescent="0.2">
      <c r="A392" s="219"/>
      <c r="B392" s="842"/>
      <c r="C392" s="229"/>
      <c r="D392" s="632"/>
      <c r="E392" s="633"/>
      <c r="F392" s="633"/>
      <c r="G392" s="634"/>
      <c r="H392" s="253"/>
      <c r="I392" s="632"/>
      <c r="J392" s="633"/>
      <c r="K392" s="633"/>
      <c r="L392" s="634"/>
      <c r="M392" s="253"/>
      <c r="N392" s="632"/>
      <c r="O392" s="633"/>
      <c r="P392" s="633"/>
      <c r="Q392" s="634"/>
      <c r="R392" s="253"/>
      <c r="S392" s="632"/>
      <c r="T392" s="633"/>
      <c r="U392" s="633"/>
      <c r="V392" s="634"/>
      <c r="W392" s="253"/>
      <c r="X392" s="632"/>
      <c r="Y392" s="633"/>
      <c r="Z392" s="633"/>
      <c r="AA392" s="634"/>
      <c r="AB392" s="219"/>
    </row>
    <row r="393" spans="1:28" ht="14.25" x14ac:dyDescent="0.2">
      <c r="A393" s="219"/>
      <c r="B393" s="842"/>
      <c r="C393" s="229"/>
      <c r="D393" s="632"/>
      <c r="E393" s="633"/>
      <c r="F393" s="633"/>
      <c r="G393" s="634"/>
      <c r="H393" s="253"/>
      <c r="I393" s="632"/>
      <c r="J393" s="633"/>
      <c r="K393" s="633"/>
      <c r="L393" s="634"/>
      <c r="M393" s="253"/>
      <c r="N393" s="632"/>
      <c r="O393" s="633"/>
      <c r="P393" s="633"/>
      <c r="Q393" s="634"/>
      <c r="R393" s="253"/>
      <c r="S393" s="632"/>
      <c r="T393" s="633"/>
      <c r="U393" s="633"/>
      <c r="V393" s="634"/>
      <c r="W393" s="253"/>
      <c r="X393" s="632"/>
      <c r="Y393" s="633"/>
      <c r="Z393" s="633"/>
      <c r="AA393" s="634"/>
      <c r="AB393" s="219"/>
    </row>
    <row r="394" spans="1:28" ht="15" x14ac:dyDescent="0.25">
      <c r="A394" s="219"/>
      <c r="B394" s="842"/>
      <c r="C394" s="229"/>
      <c r="D394" s="599" t="s">
        <v>231</v>
      </c>
      <c r="E394" s="600"/>
      <c r="F394" s="600"/>
      <c r="G394" s="601"/>
      <c r="H394" s="253"/>
      <c r="I394" s="599" t="s">
        <v>215</v>
      </c>
      <c r="J394" s="600"/>
      <c r="K394" s="600"/>
      <c r="L394" s="601"/>
      <c r="M394" s="253"/>
      <c r="N394" s="599" t="s">
        <v>233</v>
      </c>
      <c r="O394" s="600"/>
      <c r="P394" s="600"/>
      <c r="Q394" s="601"/>
      <c r="R394" s="253"/>
      <c r="S394" s="599" t="s">
        <v>598</v>
      </c>
      <c r="T394" s="600"/>
      <c r="U394" s="600"/>
      <c r="V394" s="601"/>
      <c r="W394" s="253"/>
      <c r="X394" s="599" t="s">
        <v>921</v>
      </c>
      <c r="Y394" s="600"/>
      <c r="Z394" s="600"/>
      <c r="AA394" s="601"/>
      <c r="AB394" s="219"/>
    </row>
    <row r="395" spans="1:28" s="178" customFormat="1" ht="27" customHeight="1" x14ac:dyDescent="0.2">
      <c r="A395" s="380"/>
      <c r="B395" s="842"/>
      <c r="C395" s="229"/>
      <c r="D395" s="602" t="s">
        <v>653</v>
      </c>
      <c r="E395" s="603"/>
      <c r="F395" s="604"/>
      <c r="G395" s="605"/>
      <c r="H395" s="266"/>
      <c r="I395" s="602" t="s">
        <v>654</v>
      </c>
      <c r="J395" s="603"/>
      <c r="K395" s="604"/>
      <c r="L395" s="605"/>
      <c r="M395" s="266"/>
      <c r="N395" s="602" t="s">
        <v>655</v>
      </c>
      <c r="O395" s="603"/>
      <c r="P395" s="604"/>
      <c r="Q395" s="605"/>
      <c r="R395" s="266"/>
      <c r="S395" s="602" t="s">
        <v>656</v>
      </c>
      <c r="T395" s="603"/>
      <c r="U395" s="604"/>
      <c r="V395" s="605"/>
      <c r="W395" s="266"/>
      <c r="X395" s="602" t="s">
        <v>957</v>
      </c>
      <c r="Y395" s="603"/>
      <c r="Z395" s="604"/>
      <c r="AA395" s="605"/>
      <c r="AB395" s="226"/>
    </row>
    <row r="396" spans="1:28" s="169" customFormat="1" ht="16.149999999999999" customHeight="1" x14ac:dyDescent="0.25">
      <c r="A396" s="226"/>
      <c r="B396" s="842"/>
      <c r="C396" s="229"/>
      <c r="D396" s="623">
        <v>0.08</v>
      </c>
      <c r="E396" s="608"/>
      <c r="F396" s="624">
        <v>170</v>
      </c>
      <c r="G396" s="625"/>
      <c r="H396" s="253"/>
      <c r="I396" s="623">
        <v>7.0000000000000007E-2</v>
      </c>
      <c r="J396" s="608"/>
      <c r="K396" s="624">
        <v>170</v>
      </c>
      <c r="L396" s="625"/>
      <c r="M396" s="253"/>
      <c r="N396" s="623">
        <v>0.09</v>
      </c>
      <c r="O396" s="608"/>
      <c r="P396" s="624">
        <v>0</v>
      </c>
      <c r="Q396" s="625"/>
      <c r="R396" s="253"/>
      <c r="S396" s="623">
        <v>0.11</v>
      </c>
      <c r="T396" s="608"/>
      <c r="U396" s="624">
        <v>0</v>
      </c>
      <c r="V396" s="625"/>
      <c r="W396" s="253"/>
      <c r="X396" s="623">
        <v>5.5</v>
      </c>
      <c r="Y396" s="608"/>
      <c r="Z396" s="624">
        <v>0</v>
      </c>
      <c r="AA396" s="625"/>
      <c r="AB396" s="219"/>
    </row>
    <row r="397" spans="1:28" s="386" customFormat="1" ht="16.149999999999999" customHeight="1" x14ac:dyDescent="0.2">
      <c r="A397" s="384"/>
      <c r="B397" s="842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4.25" x14ac:dyDescent="0.2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4.25" x14ac:dyDescent="0.2">
      <c r="A399" s="219"/>
      <c r="B399" s="842" t="s">
        <v>466</v>
      </c>
      <c r="C399" s="230"/>
      <c r="D399" s="617"/>
      <c r="E399" s="618"/>
      <c r="F399" s="618"/>
      <c r="G399" s="619"/>
      <c r="H399" s="253"/>
      <c r="I399" s="617"/>
      <c r="J399" s="618"/>
      <c r="K399" s="618"/>
      <c r="L399" s="619"/>
      <c r="M399" s="253"/>
      <c r="N399" s="617"/>
      <c r="O399" s="618"/>
      <c r="P399" s="618"/>
      <c r="Q399" s="619"/>
      <c r="R399" s="253"/>
      <c r="S399" s="617"/>
      <c r="T399" s="618"/>
      <c r="U399" s="618"/>
      <c r="V399" s="619"/>
      <c r="W399" s="253"/>
      <c r="X399" s="279"/>
      <c r="Y399" s="280"/>
      <c r="Z399" s="281"/>
      <c r="AA399" s="282"/>
      <c r="AB399" s="219"/>
    </row>
    <row r="400" spans="1:28" ht="14.25" x14ac:dyDescent="0.2">
      <c r="A400" s="219"/>
      <c r="B400" s="842"/>
      <c r="C400" s="230"/>
      <c r="D400" s="632"/>
      <c r="E400" s="633"/>
      <c r="F400" s="633"/>
      <c r="G400" s="634"/>
      <c r="H400" s="253"/>
      <c r="I400" s="632"/>
      <c r="J400" s="633"/>
      <c r="K400" s="633"/>
      <c r="L400" s="634"/>
      <c r="M400" s="253"/>
      <c r="N400" s="632"/>
      <c r="O400" s="633"/>
      <c r="P400" s="633"/>
      <c r="Q400" s="634"/>
      <c r="R400" s="253"/>
      <c r="S400" s="632"/>
      <c r="T400" s="633"/>
      <c r="U400" s="633"/>
      <c r="V400" s="634"/>
      <c r="W400" s="253"/>
      <c r="X400" s="279"/>
      <c r="Y400" s="280"/>
      <c r="Z400" s="281"/>
      <c r="AA400" s="282"/>
      <c r="AB400" s="219"/>
    </row>
    <row r="401" spans="1:28" ht="14.25" x14ac:dyDescent="0.2">
      <c r="A401" s="219"/>
      <c r="B401" s="842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2"/>
      <c r="O401" s="633"/>
      <c r="P401" s="633"/>
      <c r="Q401" s="634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4.25" x14ac:dyDescent="0.2">
      <c r="A402" s="219"/>
      <c r="B402" s="842"/>
      <c r="C402" s="230"/>
      <c r="D402" s="632"/>
      <c r="E402" s="633"/>
      <c r="F402" s="633"/>
      <c r="G402" s="634"/>
      <c r="H402" s="253"/>
      <c r="I402" s="632"/>
      <c r="J402" s="633"/>
      <c r="K402" s="633"/>
      <c r="L402" s="634"/>
      <c r="M402" s="253"/>
      <c r="N402" s="632"/>
      <c r="O402" s="633"/>
      <c r="P402" s="633"/>
      <c r="Q402" s="634"/>
      <c r="R402" s="253"/>
      <c r="S402" s="632"/>
      <c r="T402" s="633"/>
      <c r="U402" s="633"/>
      <c r="V402" s="634"/>
      <c r="W402" s="253"/>
      <c r="X402" s="279"/>
      <c r="Y402" s="280"/>
      <c r="Z402" s="281"/>
      <c r="AA402" s="282"/>
      <c r="AB402" s="219"/>
    </row>
    <row r="403" spans="1:28" ht="14.25" x14ac:dyDescent="0.2">
      <c r="A403" s="219"/>
      <c r="B403" s="842"/>
      <c r="C403" s="230"/>
      <c r="D403" s="632"/>
      <c r="E403" s="633"/>
      <c r="F403" s="633"/>
      <c r="G403" s="634"/>
      <c r="H403" s="253"/>
      <c r="I403" s="632"/>
      <c r="J403" s="633"/>
      <c r="K403" s="633"/>
      <c r="L403" s="634"/>
      <c r="M403" s="253"/>
      <c r="N403" s="632"/>
      <c r="O403" s="633"/>
      <c r="P403" s="633"/>
      <c r="Q403" s="634"/>
      <c r="R403" s="253"/>
      <c r="S403" s="632"/>
      <c r="T403" s="633"/>
      <c r="U403" s="633"/>
      <c r="V403" s="634"/>
      <c r="W403" s="253"/>
      <c r="X403" s="279"/>
      <c r="Y403" s="280"/>
      <c r="Z403" s="281"/>
      <c r="AA403" s="282"/>
      <c r="AB403" s="219"/>
    </row>
    <row r="404" spans="1:28" ht="14.25" x14ac:dyDescent="0.2">
      <c r="A404" s="219"/>
      <c r="B404" s="842"/>
      <c r="C404" s="230"/>
      <c r="D404" s="596"/>
      <c r="E404" s="597"/>
      <c r="F404" s="597"/>
      <c r="G404" s="598"/>
      <c r="H404" s="253"/>
      <c r="I404" s="596"/>
      <c r="J404" s="597"/>
      <c r="K404" s="597"/>
      <c r="L404" s="598"/>
      <c r="M404" s="253"/>
      <c r="N404" s="596"/>
      <c r="O404" s="597"/>
      <c r="P404" s="597"/>
      <c r="Q404" s="598"/>
      <c r="R404" s="253"/>
      <c r="S404" s="596"/>
      <c r="T404" s="597"/>
      <c r="U404" s="597"/>
      <c r="V404" s="598"/>
      <c r="W404" s="253"/>
      <c r="X404" s="279"/>
      <c r="Y404" s="280"/>
      <c r="Z404" s="281"/>
      <c r="AA404" s="282"/>
      <c r="AB404" s="219"/>
    </row>
    <row r="405" spans="1:28" ht="15" x14ac:dyDescent="0.25">
      <c r="A405" s="219"/>
      <c r="B405" s="842"/>
      <c r="C405" s="230"/>
      <c r="D405" s="599" t="s">
        <v>291</v>
      </c>
      <c r="E405" s="600"/>
      <c r="F405" s="600"/>
      <c r="G405" s="601"/>
      <c r="H405" s="253"/>
      <c r="I405" s="599" t="s">
        <v>292</v>
      </c>
      <c r="J405" s="600"/>
      <c r="K405" s="600"/>
      <c r="L405" s="601"/>
      <c r="M405" s="253"/>
      <c r="N405" s="599" t="s">
        <v>467</v>
      </c>
      <c r="O405" s="600"/>
      <c r="P405" s="600"/>
      <c r="Q405" s="601"/>
      <c r="R405" s="253"/>
      <c r="S405" s="599" t="s">
        <v>599</v>
      </c>
      <c r="T405" s="600"/>
      <c r="U405" s="600"/>
      <c r="V405" s="601"/>
      <c r="W405" s="253"/>
      <c r="X405" s="279"/>
      <c r="Y405" s="280"/>
      <c r="Z405" s="281"/>
      <c r="AA405" s="282"/>
      <c r="AB405" s="219"/>
    </row>
    <row r="406" spans="1:28" ht="27" customHeight="1" x14ac:dyDescent="0.2">
      <c r="A406" s="219"/>
      <c r="B406" s="842"/>
      <c r="C406" s="230"/>
      <c r="D406" s="602" t="s">
        <v>653</v>
      </c>
      <c r="E406" s="603"/>
      <c r="F406" s="604"/>
      <c r="G406" s="605"/>
      <c r="H406" s="266"/>
      <c r="I406" s="602" t="s">
        <v>654</v>
      </c>
      <c r="J406" s="603"/>
      <c r="K406" s="604"/>
      <c r="L406" s="605"/>
      <c r="M406" s="253"/>
      <c r="N406" s="602" t="s">
        <v>655</v>
      </c>
      <c r="O406" s="603"/>
      <c r="P406" s="604"/>
      <c r="Q406" s="605"/>
      <c r="R406" s="253"/>
      <c r="S406" s="602" t="s">
        <v>656</v>
      </c>
      <c r="T406" s="603"/>
      <c r="U406" s="604"/>
      <c r="V406" s="605"/>
      <c r="W406" s="253"/>
      <c r="X406" s="279"/>
      <c r="Y406" s="280"/>
      <c r="Z406" s="281"/>
      <c r="AA406" s="282"/>
      <c r="AB406" s="219"/>
    </row>
    <row r="407" spans="1:28" ht="16.149999999999999" customHeight="1" x14ac:dyDescent="0.25">
      <c r="A407" s="219"/>
      <c r="B407" s="842"/>
      <c r="C407" s="230"/>
      <c r="D407" s="623">
        <v>0.09</v>
      </c>
      <c r="E407" s="608"/>
      <c r="F407" s="624">
        <v>0</v>
      </c>
      <c r="G407" s="625"/>
      <c r="H407" s="253"/>
      <c r="I407" s="623">
        <v>0.09</v>
      </c>
      <c r="J407" s="608"/>
      <c r="K407" s="624">
        <v>0</v>
      </c>
      <c r="L407" s="625"/>
      <c r="M407" s="253"/>
      <c r="N407" s="623">
        <v>0.09</v>
      </c>
      <c r="O407" s="608"/>
      <c r="P407" s="624">
        <v>0</v>
      </c>
      <c r="Q407" s="625"/>
      <c r="R407" s="253"/>
      <c r="S407" s="623">
        <v>0.12</v>
      </c>
      <c r="T407" s="608"/>
      <c r="U407" s="624">
        <v>0</v>
      </c>
      <c r="V407" s="625"/>
      <c r="W407" s="253"/>
      <c r="X407" s="279"/>
      <c r="Y407" s="280"/>
      <c r="Z407" s="281"/>
      <c r="AA407" s="282"/>
      <c r="AB407" s="219"/>
    </row>
    <row r="408" spans="1:28" s="386" customFormat="1" ht="16.149999999999999" customHeight="1" x14ac:dyDescent="0.2">
      <c r="A408" s="384"/>
      <c r="B408" s="842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4.25" x14ac:dyDescent="0.2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4.25" x14ac:dyDescent="0.2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15" customHeight="1" x14ac:dyDescent="0.2">
      <c r="A411" s="219"/>
      <c r="B411" s="842" t="s">
        <v>240</v>
      </c>
      <c r="C411" s="229"/>
      <c r="D411" s="291"/>
      <c r="E411" s="292"/>
      <c r="F411" s="292"/>
      <c r="G411" s="293"/>
      <c r="H411" s="253"/>
      <c r="I411" s="617"/>
      <c r="J411" s="618"/>
      <c r="K411" s="618"/>
      <c r="L411" s="619"/>
      <c r="M411" s="253"/>
      <c r="N411" s="617"/>
      <c r="O411" s="618"/>
      <c r="P411" s="618"/>
      <c r="Q411" s="618"/>
      <c r="R411" s="294"/>
      <c r="S411" s="618"/>
      <c r="T411" s="618"/>
      <c r="U411" s="618"/>
      <c r="V411" s="619"/>
      <c r="W411" s="253"/>
      <c r="X411" s="612"/>
      <c r="Y411" s="612"/>
      <c r="Z411" s="612"/>
      <c r="AA411" s="612"/>
      <c r="AB411" s="219"/>
    </row>
    <row r="412" spans="1:28" ht="13.15" customHeight="1" x14ac:dyDescent="0.2">
      <c r="A412" s="219"/>
      <c r="B412" s="842"/>
      <c r="C412" s="229"/>
      <c r="D412" s="272"/>
      <c r="E412" s="273"/>
      <c r="F412" s="273"/>
      <c r="G412" s="274"/>
      <c r="H412" s="253"/>
      <c r="I412" s="632"/>
      <c r="J412" s="633"/>
      <c r="K412" s="633"/>
      <c r="L412" s="634"/>
      <c r="M412" s="253"/>
      <c r="N412" s="632"/>
      <c r="O412" s="633"/>
      <c r="P412" s="633"/>
      <c r="Q412" s="633"/>
      <c r="R412" s="294"/>
      <c r="S412" s="633"/>
      <c r="T412" s="633"/>
      <c r="U412" s="633"/>
      <c r="V412" s="634"/>
      <c r="W412" s="253"/>
      <c r="X412" s="612"/>
      <c r="Y412" s="612"/>
      <c r="Z412" s="612"/>
      <c r="AA412" s="612"/>
      <c r="AB412" s="219"/>
    </row>
    <row r="413" spans="1:28" ht="13.15" customHeight="1" x14ac:dyDescent="0.2">
      <c r="A413" s="219"/>
      <c r="B413" s="842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15" customHeight="1" x14ac:dyDescent="0.2">
      <c r="A414" s="219"/>
      <c r="B414" s="842"/>
      <c r="C414" s="229"/>
      <c r="D414" s="272"/>
      <c r="E414" s="273"/>
      <c r="F414" s="273"/>
      <c r="G414" s="274"/>
      <c r="H414" s="253"/>
      <c r="I414" s="632"/>
      <c r="J414" s="633"/>
      <c r="K414" s="633"/>
      <c r="L414" s="634"/>
      <c r="M414" s="253"/>
      <c r="N414" s="632"/>
      <c r="O414" s="633"/>
      <c r="P414" s="633"/>
      <c r="Q414" s="633"/>
      <c r="R414" s="294"/>
      <c r="S414" s="633"/>
      <c r="T414" s="633"/>
      <c r="U414" s="633"/>
      <c r="V414" s="634"/>
      <c r="W414" s="253"/>
      <c r="X414" s="612"/>
      <c r="Y414" s="612"/>
      <c r="Z414" s="612"/>
      <c r="AA414" s="612"/>
      <c r="AB414" s="219"/>
    </row>
    <row r="415" spans="1:28" ht="13.15" customHeight="1" x14ac:dyDescent="0.2">
      <c r="A415" s="219"/>
      <c r="B415" s="842"/>
      <c r="C415" s="229"/>
      <c r="D415" s="272"/>
      <c r="E415" s="273"/>
      <c r="F415" s="273"/>
      <c r="G415" s="274"/>
      <c r="H415" s="253"/>
      <c r="I415" s="632"/>
      <c r="J415" s="633"/>
      <c r="K415" s="633"/>
      <c r="L415" s="634"/>
      <c r="M415" s="253"/>
      <c r="N415" s="632"/>
      <c r="O415" s="633"/>
      <c r="P415" s="633"/>
      <c r="Q415" s="633"/>
      <c r="R415" s="294"/>
      <c r="S415" s="633"/>
      <c r="T415" s="633"/>
      <c r="U415" s="633"/>
      <c r="V415" s="634"/>
      <c r="W415" s="253"/>
      <c r="X415" s="612"/>
      <c r="Y415" s="612"/>
      <c r="Z415" s="612"/>
      <c r="AA415" s="612"/>
      <c r="AB415" s="219"/>
    </row>
    <row r="416" spans="1:28" ht="13.15" customHeight="1" x14ac:dyDescent="0.2">
      <c r="A416" s="219"/>
      <c r="B416" s="842"/>
      <c r="C416" s="229"/>
      <c r="D416" s="272"/>
      <c r="E416" s="273"/>
      <c r="F416" s="273"/>
      <c r="G416" s="274"/>
      <c r="H416" s="253"/>
      <c r="I416" s="632"/>
      <c r="J416" s="633"/>
      <c r="K416" s="633"/>
      <c r="L416" s="634"/>
      <c r="M416" s="253"/>
      <c r="N416" s="632"/>
      <c r="O416" s="633"/>
      <c r="P416" s="633"/>
      <c r="Q416" s="633"/>
      <c r="R416" s="294"/>
      <c r="S416" s="633"/>
      <c r="T416" s="633"/>
      <c r="U416" s="633"/>
      <c r="V416" s="634"/>
      <c r="W416" s="253"/>
      <c r="X416" s="612"/>
      <c r="Y416" s="612"/>
      <c r="Z416" s="612"/>
      <c r="AA416" s="612"/>
      <c r="AB416" s="219"/>
    </row>
    <row r="417" spans="1:31" ht="15" x14ac:dyDescent="0.25">
      <c r="A417" s="219"/>
      <c r="B417" s="842"/>
      <c r="C417" s="229"/>
      <c r="D417" s="599" t="s">
        <v>413</v>
      </c>
      <c r="E417" s="600"/>
      <c r="F417" s="600"/>
      <c r="G417" s="601"/>
      <c r="H417" s="253"/>
      <c r="I417" s="691" t="s">
        <v>975</v>
      </c>
      <c r="J417" s="692"/>
      <c r="K417" s="692"/>
      <c r="L417" s="693"/>
      <c r="M417" s="253"/>
      <c r="N417" s="599" t="s">
        <v>196</v>
      </c>
      <c r="O417" s="600"/>
      <c r="P417" s="600"/>
      <c r="Q417" s="601"/>
      <c r="R417" s="253"/>
      <c r="S417" s="599" t="s">
        <v>414</v>
      </c>
      <c r="T417" s="600"/>
      <c r="U417" s="600"/>
      <c r="V417" s="601"/>
      <c r="W417" s="253"/>
      <c r="X417" s="631"/>
      <c r="Y417" s="631"/>
      <c r="Z417" s="631"/>
      <c r="AA417" s="631"/>
      <c r="AB417" s="219"/>
    </row>
    <row r="418" spans="1:31" s="178" customFormat="1" ht="27" customHeight="1" x14ac:dyDescent="0.2">
      <c r="A418" s="380"/>
      <c r="B418" s="842"/>
      <c r="C418" s="229"/>
      <c r="D418" s="976" t="s">
        <v>960</v>
      </c>
      <c r="E418" s="977"/>
      <c r="F418" s="978"/>
      <c r="G418" s="979"/>
      <c r="H418" s="266"/>
      <c r="I418" s="976" t="s">
        <v>974</v>
      </c>
      <c r="J418" s="977"/>
      <c r="K418" s="978"/>
      <c r="L418" s="979"/>
      <c r="M418" s="266"/>
      <c r="N418" s="976" t="s">
        <v>961</v>
      </c>
      <c r="O418" s="977"/>
      <c r="P418" s="978"/>
      <c r="Q418" s="979"/>
      <c r="R418" s="266"/>
      <c r="S418" s="602" t="s">
        <v>657</v>
      </c>
      <c r="T418" s="603"/>
      <c r="U418" s="604"/>
      <c r="V418" s="605"/>
      <c r="W418" s="266"/>
      <c r="X418" s="839"/>
      <c r="Y418" s="839"/>
      <c r="Z418" s="839"/>
      <c r="AA418" s="839"/>
      <c r="AB418" s="226"/>
    </row>
    <row r="419" spans="1:31" s="169" customFormat="1" ht="16.149999999999999" customHeight="1" x14ac:dyDescent="0.25">
      <c r="A419" s="226"/>
      <c r="B419" s="842"/>
      <c r="C419" s="229"/>
      <c r="D419" s="623">
        <v>0.04</v>
      </c>
      <c r="E419" s="1000"/>
      <c r="F419" s="624">
        <v>200</v>
      </c>
      <c r="G419" s="625"/>
      <c r="H419" s="253"/>
      <c r="I419" s="623">
        <v>0.04</v>
      </c>
      <c r="J419" s="608"/>
      <c r="K419" s="624">
        <v>0</v>
      </c>
      <c r="L419" s="625"/>
      <c r="M419" s="253"/>
      <c r="N419" s="623">
        <v>0.04</v>
      </c>
      <c r="O419" s="608"/>
      <c r="P419" s="624">
        <v>0</v>
      </c>
      <c r="Q419" s="625"/>
      <c r="R419" s="253"/>
      <c r="S419" s="623">
        <v>1</v>
      </c>
      <c r="T419" s="608"/>
      <c r="U419" s="624">
        <v>0</v>
      </c>
      <c r="V419" s="625"/>
      <c r="W419" s="253"/>
      <c r="X419" s="889"/>
      <c r="Y419" s="889"/>
      <c r="Z419" s="681"/>
      <c r="AA419" s="681"/>
      <c r="AB419" s="219"/>
    </row>
    <row r="420" spans="1:31" s="386" customFormat="1" ht="14.25" x14ac:dyDescent="0.2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4.25" x14ac:dyDescent="0.2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" customHeight="1" x14ac:dyDescent="0.2">
      <c r="A422" s="219"/>
      <c r="B422" s="842" t="s">
        <v>472</v>
      </c>
      <c r="C422" s="229"/>
      <c r="D422" s="617"/>
      <c r="E422" s="618"/>
      <c r="F422" s="618"/>
      <c r="G422" s="619"/>
      <c r="H422" s="253"/>
      <c r="I422" s="617"/>
      <c r="J422" s="618"/>
      <c r="K422" s="618"/>
      <c r="L422" s="619"/>
      <c r="M422" s="253"/>
      <c r="N422" s="617"/>
      <c r="O422" s="618"/>
      <c r="P422" s="618"/>
      <c r="Q422" s="619"/>
      <c r="R422" s="253"/>
      <c r="S422" s="617"/>
      <c r="T422" s="618"/>
      <c r="U422" s="618"/>
      <c r="V422" s="619"/>
      <c r="W422" s="253"/>
      <c r="X422" s="617"/>
      <c r="Y422" s="618"/>
      <c r="Z422" s="618"/>
      <c r="AA422" s="619"/>
      <c r="AB422" s="219"/>
    </row>
    <row r="423" spans="1:31" ht="14.25" x14ac:dyDescent="0.2">
      <c r="A423" s="219"/>
      <c r="B423" s="842"/>
      <c r="C423" s="229"/>
      <c r="D423" s="632"/>
      <c r="E423" s="633"/>
      <c r="F423" s="633"/>
      <c r="G423" s="634"/>
      <c r="H423" s="253"/>
      <c r="I423" s="632"/>
      <c r="J423" s="633"/>
      <c r="K423" s="633"/>
      <c r="L423" s="634"/>
      <c r="M423" s="253"/>
      <c r="N423" s="632"/>
      <c r="O423" s="633"/>
      <c r="P423" s="633"/>
      <c r="Q423" s="634"/>
      <c r="R423" s="253"/>
      <c r="S423" s="632"/>
      <c r="T423" s="633"/>
      <c r="U423" s="633"/>
      <c r="V423" s="634"/>
      <c r="W423" s="253"/>
      <c r="X423" s="632"/>
      <c r="Y423" s="633"/>
      <c r="Z423" s="633"/>
      <c r="AA423" s="634"/>
      <c r="AB423" s="219"/>
    </row>
    <row r="424" spans="1:31" ht="14.25" x14ac:dyDescent="0.2">
      <c r="A424" s="219"/>
      <c r="B424" s="842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2"/>
      <c r="T424" s="633"/>
      <c r="U424" s="633"/>
      <c r="V424" s="634"/>
      <c r="W424" s="253"/>
      <c r="X424" s="632"/>
      <c r="Y424" s="633"/>
      <c r="Z424" s="633"/>
      <c r="AA424" s="634"/>
      <c r="AB424" s="219"/>
    </row>
    <row r="425" spans="1:31" ht="14.25" x14ac:dyDescent="0.2">
      <c r="A425" s="219"/>
      <c r="B425" s="842"/>
      <c r="C425" s="229"/>
      <c r="D425" s="632"/>
      <c r="E425" s="633"/>
      <c r="F425" s="633"/>
      <c r="G425" s="634"/>
      <c r="H425" s="253"/>
      <c r="I425" s="632"/>
      <c r="J425" s="633"/>
      <c r="K425" s="633"/>
      <c r="L425" s="634"/>
      <c r="M425" s="253"/>
      <c r="N425" s="632"/>
      <c r="O425" s="633"/>
      <c r="P425" s="633"/>
      <c r="Q425" s="634"/>
      <c r="R425" s="253"/>
      <c r="S425" s="632"/>
      <c r="T425" s="633"/>
      <c r="U425" s="633"/>
      <c r="V425" s="634"/>
      <c r="W425" s="253"/>
      <c r="X425" s="632"/>
      <c r="Y425" s="633"/>
      <c r="Z425" s="633"/>
      <c r="AA425" s="634"/>
      <c r="AB425" s="219"/>
    </row>
    <row r="426" spans="1:31" ht="14.25" x14ac:dyDescent="0.2">
      <c r="A426" s="219"/>
      <c r="B426" s="842"/>
      <c r="C426" s="229"/>
      <c r="D426" s="632"/>
      <c r="E426" s="633"/>
      <c r="F426" s="633"/>
      <c r="G426" s="634"/>
      <c r="H426" s="253"/>
      <c r="I426" s="632"/>
      <c r="J426" s="633"/>
      <c r="K426" s="633"/>
      <c r="L426" s="634"/>
      <c r="M426" s="253"/>
      <c r="N426" s="632"/>
      <c r="O426" s="633"/>
      <c r="P426" s="633"/>
      <c r="Q426" s="634"/>
      <c r="R426" s="253"/>
      <c r="S426" s="632"/>
      <c r="T426" s="633"/>
      <c r="U426" s="633"/>
      <c r="V426" s="634"/>
      <c r="W426" s="253"/>
      <c r="X426" s="632"/>
      <c r="Y426" s="633"/>
      <c r="Z426" s="633"/>
      <c r="AA426" s="634"/>
      <c r="AB426" s="219"/>
    </row>
    <row r="427" spans="1:31" ht="14.25" x14ac:dyDescent="0.2">
      <c r="A427" s="219"/>
      <c r="B427" s="842"/>
      <c r="C427" s="229"/>
      <c r="D427" s="596"/>
      <c r="E427" s="597"/>
      <c r="F427" s="597"/>
      <c r="G427" s="598"/>
      <c r="H427" s="253"/>
      <c r="I427" s="596"/>
      <c r="J427" s="597"/>
      <c r="K427" s="597"/>
      <c r="L427" s="598"/>
      <c r="M427" s="253"/>
      <c r="N427" s="596"/>
      <c r="O427" s="597"/>
      <c r="P427" s="597"/>
      <c r="Q427" s="598"/>
      <c r="R427" s="253"/>
      <c r="S427" s="596"/>
      <c r="T427" s="597"/>
      <c r="U427" s="597"/>
      <c r="V427" s="598"/>
      <c r="W427" s="253"/>
      <c r="X427" s="596"/>
      <c r="Y427" s="597"/>
      <c r="Z427" s="597"/>
      <c r="AA427" s="598"/>
      <c r="AB427" s="219"/>
    </row>
    <row r="428" spans="1:31" ht="15" x14ac:dyDescent="0.25">
      <c r="A428" s="219"/>
      <c r="B428" s="842"/>
      <c r="C428" s="229"/>
      <c r="D428" s="620" t="s">
        <v>234</v>
      </c>
      <c r="E428" s="621"/>
      <c r="F428" s="621"/>
      <c r="G428" s="622"/>
      <c r="H428" s="253"/>
      <c r="I428" s="620" t="s">
        <v>237</v>
      </c>
      <c r="J428" s="621"/>
      <c r="K428" s="621"/>
      <c r="L428" s="622"/>
      <c r="M428" s="253"/>
      <c r="N428" s="599" t="s">
        <v>379</v>
      </c>
      <c r="O428" s="600"/>
      <c r="P428" s="600"/>
      <c r="Q428" s="601"/>
      <c r="R428" s="253"/>
      <c r="S428" s="599" t="s">
        <v>455</v>
      </c>
      <c r="T428" s="600"/>
      <c r="U428" s="600"/>
      <c r="V428" s="601"/>
      <c r="W428" s="253"/>
      <c r="X428" s="599" t="s">
        <v>454</v>
      </c>
      <c r="Y428" s="600"/>
      <c r="Z428" s="600"/>
      <c r="AA428" s="601"/>
      <c r="AB428" s="219"/>
      <c r="AE428" s="166">
        <v>100</v>
      </c>
    </row>
    <row r="429" spans="1:31" ht="27" customHeight="1" x14ac:dyDescent="0.2">
      <c r="A429" s="219"/>
      <c r="B429" s="842"/>
      <c r="C429" s="229"/>
      <c r="D429" s="602" t="s">
        <v>658</v>
      </c>
      <c r="E429" s="603"/>
      <c r="F429" s="604"/>
      <c r="G429" s="605"/>
      <c r="H429" s="266"/>
      <c r="I429" s="602" t="s">
        <v>659</v>
      </c>
      <c r="J429" s="603"/>
      <c r="K429" s="604"/>
      <c r="L429" s="605"/>
      <c r="M429" s="266"/>
      <c r="N429" s="602" t="s">
        <v>837</v>
      </c>
      <c r="O429" s="603"/>
      <c r="P429" s="604"/>
      <c r="Q429" s="605"/>
      <c r="R429" s="253"/>
      <c r="S429" s="602" t="s">
        <v>660</v>
      </c>
      <c r="T429" s="603"/>
      <c r="U429" s="604"/>
      <c r="V429" s="605"/>
      <c r="W429" s="253"/>
      <c r="X429" s="602" t="s">
        <v>661</v>
      </c>
      <c r="Y429" s="603"/>
      <c r="Z429" s="604"/>
      <c r="AA429" s="605"/>
      <c r="AB429" s="226"/>
      <c r="AE429" s="166">
        <v>200</v>
      </c>
    </row>
    <row r="430" spans="1:31" ht="16.149999999999999" customHeight="1" x14ac:dyDescent="0.25">
      <c r="A430" s="219"/>
      <c r="B430" s="842"/>
      <c r="C430" s="229"/>
      <c r="D430" s="623">
        <v>0.8</v>
      </c>
      <c r="E430" s="608"/>
      <c r="F430" s="624">
        <v>24</v>
      </c>
      <c r="G430" s="625"/>
      <c r="H430" s="253"/>
      <c r="I430" s="623">
        <v>0.8</v>
      </c>
      <c r="J430" s="608"/>
      <c r="K430" s="624">
        <v>24</v>
      </c>
      <c r="L430" s="625"/>
      <c r="M430" s="253"/>
      <c r="N430" s="623">
        <v>1</v>
      </c>
      <c r="O430" s="608"/>
      <c r="P430" s="624">
        <v>0</v>
      </c>
      <c r="Q430" s="625"/>
      <c r="R430" s="253"/>
      <c r="S430" s="623">
        <v>25</v>
      </c>
      <c r="T430" s="608"/>
      <c r="U430" s="624">
        <v>0</v>
      </c>
      <c r="V430" s="625"/>
      <c r="W430" s="253"/>
      <c r="X430" s="623">
        <v>25</v>
      </c>
      <c r="Y430" s="608"/>
      <c r="Z430" s="624">
        <v>0</v>
      </c>
      <c r="AA430" s="625"/>
      <c r="AB430" s="219"/>
      <c r="AE430" s="166">
        <v>300</v>
      </c>
    </row>
    <row r="431" spans="1:31" s="386" customFormat="1" ht="16.149999999999999" customHeight="1" x14ac:dyDescent="0.2">
      <c r="A431" s="384"/>
      <c r="B431" s="842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4.25" x14ac:dyDescent="0.2">
      <c r="A432" s="219"/>
      <c r="B432" s="842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4.25" x14ac:dyDescent="0.2">
      <c r="A433" s="219"/>
      <c r="B433" s="842"/>
      <c r="C433" s="229"/>
      <c r="D433" s="617"/>
      <c r="E433" s="618"/>
      <c r="F433" s="618"/>
      <c r="G433" s="619"/>
      <c r="H433" s="253"/>
      <c r="I433" s="617"/>
      <c r="J433" s="618"/>
      <c r="K433" s="618"/>
      <c r="L433" s="619"/>
      <c r="M433" s="253"/>
      <c r="N433" s="617"/>
      <c r="O433" s="618"/>
      <c r="P433" s="618"/>
      <c r="Q433" s="619"/>
      <c r="R433" s="253"/>
      <c r="S433" s="617"/>
      <c r="T433" s="618"/>
      <c r="U433" s="618"/>
      <c r="V433" s="619"/>
      <c r="W433" s="253"/>
      <c r="X433" s="279"/>
      <c r="Y433" s="280"/>
      <c r="Z433" s="281"/>
      <c r="AA433" s="282"/>
      <c r="AB433" s="219"/>
      <c r="AE433" s="166">
        <v>600</v>
      </c>
    </row>
    <row r="434" spans="1:31" ht="14.25" x14ac:dyDescent="0.2">
      <c r="A434" s="219"/>
      <c r="B434" s="842"/>
      <c r="C434" s="229"/>
      <c r="D434" s="632"/>
      <c r="E434" s="633"/>
      <c r="F434" s="633"/>
      <c r="G434" s="634"/>
      <c r="H434" s="253"/>
      <c r="I434" s="632"/>
      <c r="J434" s="633"/>
      <c r="K434" s="633"/>
      <c r="L434" s="634"/>
      <c r="M434" s="253"/>
      <c r="N434" s="632"/>
      <c r="O434" s="633"/>
      <c r="P434" s="633"/>
      <c r="Q434" s="634"/>
      <c r="R434" s="253"/>
      <c r="S434" s="632"/>
      <c r="T434" s="633"/>
      <c r="U434" s="633"/>
      <c r="V434" s="634"/>
      <c r="W434" s="253"/>
      <c r="X434" s="279"/>
      <c r="Y434" s="280"/>
      <c r="Z434" s="281"/>
      <c r="AA434" s="282"/>
      <c r="AB434" s="219"/>
      <c r="AE434" s="166">
        <v>700</v>
      </c>
    </row>
    <row r="435" spans="1:31" ht="14.25" x14ac:dyDescent="0.2">
      <c r="A435" s="219"/>
      <c r="B435" s="842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4.25" x14ac:dyDescent="0.2">
      <c r="A436" s="219"/>
      <c r="B436" s="842"/>
      <c r="C436" s="229"/>
      <c r="D436" s="632"/>
      <c r="E436" s="633"/>
      <c r="F436" s="633"/>
      <c r="G436" s="634"/>
      <c r="H436" s="253"/>
      <c r="I436" s="632"/>
      <c r="J436" s="633"/>
      <c r="K436" s="633"/>
      <c r="L436" s="634"/>
      <c r="M436" s="253"/>
      <c r="N436" s="632"/>
      <c r="O436" s="633"/>
      <c r="P436" s="633"/>
      <c r="Q436" s="634"/>
      <c r="R436" s="253"/>
      <c r="S436" s="632"/>
      <c r="T436" s="633"/>
      <c r="U436" s="633"/>
      <c r="V436" s="634"/>
      <c r="W436" s="253"/>
      <c r="X436" s="279"/>
      <c r="Y436" s="280"/>
      <c r="Z436" s="281"/>
      <c r="AA436" s="282"/>
      <c r="AB436" s="219"/>
      <c r="AE436" s="166">
        <v>900</v>
      </c>
    </row>
    <row r="437" spans="1:31" ht="14.25" x14ac:dyDescent="0.2">
      <c r="A437" s="219"/>
      <c r="B437" s="842"/>
      <c r="C437" s="229"/>
      <c r="D437" s="632"/>
      <c r="E437" s="633"/>
      <c r="F437" s="633"/>
      <c r="G437" s="634"/>
      <c r="H437" s="253"/>
      <c r="I437" s="632"/>
      <c r="J437" s="633"/>
      <c r="K437" s="633"/>
      <c r="L437" s="634"/>
      <c r="M437" s="253"/>
      <c r="N437" s="632"/>
      <c r="O437" s="633"/>
      <c r="P437" s="633"/>
      <c r="Q437" s="634"/>
      <c r="R437" s="253"/>
      <c r="S437" s="632"/>
      <c r="T437" s="633"/>
      <c r="U437" s="633"/>
      <c r="V437" s="634"/>
      <c r="W437" s="253"/>
      <c r="X437" s="279"/>
      <c r="Y437" s="280"/>
      <c r="Z437" s="281"/>
      <c r="AA437" s="282"/>
      <c r="AB437" s="219"/>
      <c r="AE437" s="166">
        <v>1000</v>
      </c>
    </row>
    <row r="438" spans="1:31" ht="14.25" x14ac:dyDescent="0.2">
      <c r="A438" s="219"/>
      <c r="B438" s="842"/>
      <c r="C438" s="229"/>
      <c r="D438" s="596"/>
      <c r="E438" s="597"/>
      <c r="F438" s="597"/>
      <c r="G438" s="598"/>
      <c r="H438" s="253"/>
      <c r="I438" s="596"/>
      <c r="J438" s="597"/>
      <c r="K438" s="597"/>
      <c r="L438" s="598"/>
      <c r="M438" s="253"/>
      <c r="N438" s="596"/>
      <c r="O438" s="597"/>
      <c r="P438" s="597"/>
      <c r="Q438" s="598"/>
      <c r="R438" s="253"/>
      <c r="S438" s="596"/>
      <c r="T438" s="597"/>
      <c r="U438" s="597"/>
      <c r="V438" s="598"/>
      <c r="W438" s="253"/>
      <c r="X438" s="279"/>
      <c r="Y438" s="280"/>
      <c r="Z438" s="281"/>
      <c r="AA438" s="282"/>
      <c r="AB438" s="219"/>
    </row>
    <row r="439" spans="1:31" ht="15" x14ac:dyDescent="0.25">
      <c r="A439" s="219"/>
      <c r="B439" s="842"/>
      <c r="C439" s="229"/>
      <c r="D439" s="599" t="s">
        <v>946</v>
      </c>
      <c r="E439" s="600"/>
      <c r="F439" s="600"/>
      <c r="G439" s="601"/>
      <c r="H439" s="253"/>
      <c r="I439" s="599" t="s">
        <v>922</v>
      </c>
      <c r="J439" s="600"/>
      <c r="K439" s="600"/>
      <c r="L439" s="601"/>
      <c r="M439" s="253"/>
      <c r="N439" s="599" t="s">
        <v>238</v>
      </c>
      <c r="O439" s="600"/>
      <c r="P439" s="600"/>
      <c r="Q439" s="601"/>
      <c r="R439" s="253"/>
      <c r="S439" s="599" t="s">
        <v>959</v>
      </c>
      <c r="T439" s="600"/>
      <c r="U439" s="600"/>
      <c r="V439" s="601"/>
      <c r="W439" s="253"/>
      <c r="X439" s="279"/>
      <c r="Y439" s="280"/>
      <c r="Z439" s="281"/>
      <c r="AA439" s="282"/>
      <c r="AB439" s="219"/>
    </row>
    <row r="440" spans="1:31" ht="27" customHeight="1" x14ac:dyDescent="0.2">
      <c r="A440" s="219"/>
      <c r="B440" s="842"/>
      <c r="C440" s="229"/>
      <c r="D440" s="602" t="s">
        <v>923</v>
      </c>
      <c r="E440" s="603"/>
      <c r="F440" s="604"/>
      <c r="G440" s="605"/>
      <c r="H440" s="253"/>
      <c r="I440" s="602" t="s">
        <v>924</v>
      </c>
      <c r="J440" s="603"/>
      <c r="K440" s="604"/>
      <c r="L440" s="605"/>
      <c r="M440" s="253"/>
      <c r="N440" s="602" t="s">
        <v>662</v>
      </c>
      <c r="O440" s="603"/>
      <c r="P440" s="604"/>
      <c r="Q440" s="605"/>
      <c r="R440" s="253"/>
      <c r="S440" s="602" t="s">
        <v>947</v>
      </c>
      <c r="T440" s="603"/>
      <c r="U440" s="604"/>
      <c r="V440" s="605"/>
      <c r="W440" s="253"/>
      <c r="X440" s="279"/>
      <c r="Y440" s="280"/>
      <c r="Z440" s="281"/>
      <c r="AA440" s="282"/>
      <c r="AB440" s="219"/>
    </row>
    <row r="441" spans="1:31" ht="16.149999999999999" customHeight="1" x14ac:dyDescent="0.25">
      <c r="A441" s="219"/>
      <c r="B441" s="842"/>
      <c r="C441" s="229"/>
      <c r="D441" s="623">
        <v>0.15</v>
      </c>
      <c r="E441" s="608"/>
      <c r="F441" s="624">
        <v>48</v>
      </c>
      <c r="G441" s="625"/>
      <c r="H441" s="253"/>
      <c r="I441" s="623">
        <v>0.15</v>
      </c>
      <c r="J441" s="608"/>
      <c r="K441" s="624">
        <v>0</v>
      </c>
      <c r="L441" s="625"/>
      <c r="M441" s="253"/>
      <c r="N441" s="623">
        <v>0.05</v>
      </c>
      <c r="O441" s="608"/>
      <c r="P441" s="624">
        <v>48</v>
      </c>
      <c r="Q441" s="625"/>
      <c r="R441" s="253"/>
      <c r="S441" s="994">
        <v>0.04</v>
      </c>
      <c r="T441" s="995"/>
      <c r="U441" s="624">
        <v>0</v>
      </c>
      <c r="V441" s="625"/>
      <c r="W441" s="253"/>
      <c r="X441" s="279"/>
      <c r="Y441" s="280"/>
      <c r="Z441" s="281"/>
      <c r="AA441" s="282"/>
      <c r="AB441" s="219"/>
    </row>
    <row r="442" spans="1:31" s="386" customFormat="1" ht="16.149999999999999" customHeight="1" x14ac:dyDescent="0.2">
      <c r="A442" s="384"/>
      <c r="B442" s="842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25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3">
      <c r="A444" s="381"/>
      <c r="B444" s="242"/>
      <c r="C444" s="242"/>
      <c r="D444" s="843" t="s">
        <v>475</v>
      </c>
      <c r="E444" s="843"/>
      <c r="F444" s="843"/>
      <c r="G444" s="843"/>
      <c r="H444" s="843"/>
      <c r="I444" s="843"/>
      <c r="J444" s="843"/>
      <c r="K444" s="843"/>
      <c r="L444" s="843"/>
      <c r="M444" s="843"/>
      <c r="N444" s="843"/>
      <c r="O444" s="843"/>
      <c r="P444" s="843"/>
      <c r="Q444" s="843"/>
      <c r="R444" s="843"/>
      <c r="S444" s="843"/>
      <c r="T444" s="843"/>
      <c r="U444" s="843"/>
      <c r="V444" s="843"/>
      <c r="W444" s="843"/>
      <c r="X444" s="843"/>
      <c r="Y444" s="843"/>
      <c r="Z444" s="843"/>
      <c r="AA444" s="843"/>
      <c r="AB444" s="242"/>
    </row>
    <row r="445" spans="1:31" s="176" customFormat="1" ht="20.65" customHeight="1" x14ac:dyDescent="0.3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15" customHeight="1" x14ac:dyDescent="0.2">
      <c r="A446" s="219"/>
      <c r="B446" s="219"/>
      <c r="C446" s="219"/>
      <c r="D446" s="617"/>
      <c r="E446" s="618"/>
      <c r="F446" s="618"/>
      <c r="G446" s="619"/>
      <c r="H446" s="253"/>
      <c r="I446" s="617"/>
      <c r="J446" s="618"/>
      <c r="K446" s="618"/>
      <c r="L446" s="619"/>
      <c r="M446" s="253"/>
      <c r="N446" s="253"/>
      <c r="O446" s="253"/>
      <c r="P446" s="253"/>
      <c r="Q446" s="253"/>
      <c r="R446" s="253"/>
      <c r="S446" s="617"/>
      <c r="T446" s="618"/>
      <c r="U446" s="618"/>
      <c r="V446" s="619"/>
      <c r="W446" s="253"/>
      <c r="X446" s="612"/>
      <c r="Y446" s="612"/>
      <c r="Z446" s="612"/>
      <c r="AA446" s="612"/>
      <c r="AB446" s="219"/>
    </row>
    <row r="447" spans="1:31" ht="13.15" customHeight="1" x14ac:dyDescent="0.2">
      <c r="A447" s="219"/>
      <c r="B447" s="219"/>
      <c r="C447" s="219"/>
      <c r="D447" s="632"/>
      <c r="E447" s="633"/>
      <c r="F447" s="633"/>
      <c r="G447" s="634"/>
      <c r="H447" s="253"/>
      <c r="I447" s="632"/>
      <c r="J447" s="633"/>
      <c r="K447" s="633"/>
      <c r="L447" s="634"/>
      <c r="M447" s="253"/>
      <c r="N447" s="253"/>
      <c r="O447" s="253"/>
      <c r="P447" s="253"/>
      <c r="Q447" s="253"/>
      <c r="R447" s="253"/>
      <c r="S447" s="632"/>
      <c r="T447" s="633"/>
      <c r="U447" s="633"/>
      <c r="V447" s="634"/>
      <c r="W447" s="253"/>
      <c r="X447" s="612"/>
      <c r="Y447" s="612"/>
      <c r="Z447" s="612"/>
      <c r="AA447" s="612"/>
      <c r="AB447" s="219"/>
    </row>
    <row r="448" spans="1:31" ht="13.15" customHeight="1" x14ac:dyDescent="0.2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15" customHeight="1" x14ac:dyDescent="0.2">
      <c r="A449" s="219"/>
      <c r="B449" s="219"/>
      <c r="C449" s="219"/>
      <c r="D449" s="632"/>
      <c r="E449" s="633"/>
      <c r="F449" s="633"/>
      <c r="G449" s="634"/>
      <c r="H449" s="253"/>
      <c r="I449" s="632"/>
      <c r="J449" s="633"/>
      <c r="K449" s="633"/>
      <c r="L449" s="634"/>
      <c r="M449" s="253"/>
      <c r="N449" s="253"/>
      <c r="O449" s="253"/>
      <c r="P449" s="253"/>
      <c r="Q449" s="253"/>
      <c r="R449" s="253"/>
      <c r="S449" s="632"/>
      <c r="T449" s="633"/>
      <c r="U449" s="633"/>
      <c r="V449" s="634"/>
      <c r="W449" s="253"/>
      <c r="X449" s="612"/>
      <c r="Y449" s="612"/>
      <c r="Z449" s="612"/>
      <c r="AA449" s="612"/>
      <c r="AB449" s="219"/>
    </row>
    <row r="450" spans="1:33" s="169" customFormat="1" ht="13.15" customHeight="1" x14ac:dyDescent="0.2">
      <c r="A450" s="226"/>
      <c r="B450" s="219"/>
      <c r="C450" s="219"/>
      <c r="D450" s="632"/>
      <c r="E450" s="633"/>
      <c r="F450" s="633"/>
      <c r="G450" s="634"/>
      <c r="H450" s="253"/>
      <c r="I450" s="632"/>
      <c r="J450" s="633"/>
      <c r="K450" s="633"/>
      <c r="L450" s="634"/>
      <c r="M450" s="253"/>
      <c r="N450" s="253"/>
      <c r="O450" s="253"/>
      <c r="P450" s="253"/>
      <c r="Q450" s="253"/>
      <c r="R450" s="253"/>
      <c r="S450" s="632"/>
      <c r="T450" s="633"/>
      <c r="U450" s="633"/>
      <c r="V450" s="634"/>
      <c r="W450" s="253"/>
      <c r="X450" s="612"/>
      <c r="Y450" s="612"/>
      <c r="Z450" s="612"/>
      <c r="AA450" s="612"/>
      <c r="AB450" s="219"/>
    </row>
    <row r="451" spans="1:33" ht="12.95" customHeight="1" x14ac:dyDescent="0.25">
      <c r="A451" s="219"/>
      <c r="B451" s="219"/>
      <c r="C451" s="219"/>
      <c r="D451" s="596"/>
      <c r="E451" s="597"/>
      <c r="F451" s="597"/>
      <c r="G451" s="598"/>
      <c r="H451" s="253"/>
      <c r="I451" s="596"/>
      <c r="J451" s="597"/>
      <c r="K451" s="597"/>
      <c r="L451" s="598"/>
      <c r="M451" s="253"/>
      <c r="N451" s="253"/>
      <c r="O451" s="253"/>
      <c r="P451" s="253"/>
      <c r="Q451" s="253"/>
      <c r="R451" s="253"/>
      <c r="S451" s="632"/>
      <c r="T451" s="633"/>
      <c r="U451" s="633"/>
      <c r="V451" s="634"/>
      <c r="W451" s="253"/>
      <c r="X451" s="612"/>
      <c r="Y451" s="612"/>
      <c r="Z451" s="612"/>
      <c r="AA451" s="612"/>
      <c r="AB451" s="219"/>
      <c r="AD451" s="1019"/>
      <c r="AE451" s="1019"/>
      <c r="AF451" s="1019"/>
      <c r="AG451" s="1019"/>
    </row>
    <row r="452" spans="1:33" ht="12" customHeight="1" x14ac:dyDescent="0.25">
      <c r="A452" s="219"/>
      <c r="B452" s="219"/>
      <c r="C452" s="219"/>
      <c r="D452" s="988" t="s">
        <v>198</v>
      </c>
      <c r="E452" s="989"/>
      <c r="F452" s="989"/>
      <c r="G452" s="990"/>
      <c r="H452" s="449"/>
      <c r="I452" s="988" t="s">
        <v>456</v>
      </c>
      <c r="J452" s="989"/>
      <c r="K452" s="989"/>
      <c r="L452" s="990"/>
      <c r="M452" s="449"/>
      <c r="N452" s="253"/>
      <c r="O452" s="253"/>
      <c r="P452" s="253"/>
      <c r="Q452" s="253"/>
      <c r="R452" s="449"/>
      <c r="S452" s="988" t="s">
        <v>477</v>
      </c>
      <c r="T452" s="989"/>
      <c r="U452" s="989"/>
      <c r="V452" s="990"/>
      <c r="W452" s="253"/>
      <c r="X452" s="1021"/>
      <c r="Y452" s="1021"/>
      <c r="Z452" s="1021"/>
      <c r="AA452" s="1021"/>
      <c r="AB452" s="219"/>
      <c r="AC452" s="1019"/>
      <c r="AD452" s="1019"/>
      <c r="AE452" s="1019"/>
      <c r="AF452" s="1019"/>
    </row>
    <row r="453" spans="1:33" ht="27" customHeight="1" x14ac:dyDescent="0.2">
      <c r="A453" s="219"/>
      <c r="B453" s="226"/>
      <c r="C453" s="226"/>
      <c r="D453" s="602" t="s">
        <v>663</v>
      </c>
      <c r="E453" s="603"/>
      <c r="F453" s="603"/>
      <c r="G453" s="606"/>
      <c r="H453" s="266"/>
      <c r="I453" s="602" t="s">
        <v>664</v>
      </c>
      <c r="J453" s="603"/>
      <c r="K453" s="603"/>
      <c r="L453" s="606"/>
      <c r="M453" s="266"/>
      <c r="N453" s="253"/>
      <c r="O453" s="253"/>
      <c r="P453" s="253"/>
      <c r="Q453" s="253"/>
      <c r="R453" s="266"/>
      <c r="S453" s="781" t="s">
        <v>665</v>
      </c>
      <c r="T453" s="782"/>
      <c r="U453" s="782"/>
      <c r="V453" s="783"/>
      <c r="W453" s="266"/>
      <c r="X453" s="839"/>
      <c r="Y453" s="839"/>
      <c r="Z453" s="839"/>
      <c r="AA453" s="839"/>
      <c r="AB453" s="226"/>
      <c r="AD453" s="1020"/>
      <c r="AE453" s="1020"/>
      <c r="AF453" s="1020"/>
      <c r="AG453" s="1020"/>
    </row>
    <row r="454" spans="1:33" ht="16.149999999999999" customHeight="1" x14ac:dyDescent="0.25">
      <c r="A454" s="219"/>
      <c r="B454" s="219"/>
      <c r="C454" s="219"/>
      <c r="D454" s="607">
        <v>9</v>
      </c>
      <c r="E454" s="611"/>
      <c r="F454" s="609">
        <v>0</v>
      </c>
      <c r="G454" s="610"/>
      <c r="H454" s="253"/>
      <c r="I454" s="607">
        <v>11</v>
      </c>
      <c r="J454" s="611"/>
      <c r="K454" s="609">
        <v>0</v>
      </c>
      <c r="L454" s="610"/>
      <c r="M454" s="253"/>
      <c r="N454" s="253"/>
      <c r="O454" s="253"/>
      <c r="P454" s="253"/>
      <c r="Q454" s="253"/>
      <c r="R454" s="253"/>
      <c r="S454" s="607">
        <v>12</v>
      </c>
      <c r="T454" s="611"/>
      <c r="U454" s="609">
        <v>0</v>
      </c>
      <c r="V454" s="610"/>
      <c r="W454" s="253"/>
      <c r="X454" s="807"/>
      <c r="Y454" s="807"/>
      <c r="Z454" s="774"/>
      <c r="AA454" s="774"/>
      <c r="AB454" s="219"/>
    </row>
    <row r="455" spans="1:33" s="386" customFormat="1" ht="15.95" customHeight="1" x14ac:dyDescent="0.2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4.25" x14ac:dyDescent="0.2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4.25" x14ac:dyDescent="0.2">
      <c r="A457" s="219"/>
      <c r="B457" s="219"/>
      <c r="C457" s="219"/>
      <c r="D457" s="617"/>
      <c r="E457" s="618"/>
      <c r="F457" s="618"/>
      <c r="G457" s="619"/>
      <c r="H457" s="253"/>
      <c r="I457" s="617"/>
      <c r="J457" s="618"/>
      <c r="K457" s="618"/>
      <c r="L457" s="619"/>
      <c r="M457" s="253"/>
      <c r="N457" s="612"/>
      <c r="O457" s="612"/>
      <c r="P457" s="612"/>
      <c r="Q457" s="612"/>
      <c r="R457" s="253"/>
      <c r="S457" s="617"/>
      <c r="T457" s="618"/>
      <c r="U457" s="618"/>
      <c r="V457" s="619"/>
      <c r="W457" s="253"/>
      <c r="X457" s="617"/>
      <c r="Y457" s="618"/>
      <c r="Z457" s="618"/>
      <c r="AA457" s="619"/>
      <c r="AB457" s="219"/>
    </row>
    <row r="458" spans="1:33" ht="14.25" x14ac:dyDescent="0.2">
      <c r="A458" s="219"/>
      <c r="B458" s="219"/>
      <c r="C458" s="219"/>
      <c r="D458" s="632"/>
      <c r="E458" s="633"/>
      <c r="F458" s="633"/>
      <c r="G458" s="634"/>
      <c r="H458" s="253"/>
      <c r="I458" s="632"/>
      <c r="J458" s="633"/>
      <c r="K458" s="633"/>
      <c r="L458" s="634"/>
      <c r="M458" s="253"/>
      <c r="N458" s="612"/>
      <c r="O458" s="612"/>
      <c r="P458" s="612"/>
      <c r="Q458" s="612"/>
      <c r="R458" s="253"/>
      <c r="S458" s="632"/>
      <c r="T458" s="633"/>
      <c r="U458" s="633"/>
      <c r="V458" s="634"/>
      <c r="W458" s="253"/>
      <c r="X458" s="632"/>
      <c r="Y458" s="633"/>
      <c r="Z458" s="633"/>
      <c r="AA458" s="634"/>
      <c r="AB458" s="219"/>
    </row>
    <row r="459" spans="1:33" ht="14.25" x14ac:dyDescent="0.2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4.25" x14ac:dyDescent="0.2">
      <c r="A460" s="219"/>
      <c r="B460" s="219"/>
      <c r="C460" s="219"/>
      <c r="D460" s="632"/>
      <c r="E460" s="633"/>
      <c r="F460" s="633"/>
      <c r="G460" s="634"/>
      <c r="H460" s="253"/>
      <c r="I460" s="632"/>
      <c r="J460" s="633"/>
      <c r="K460" s="633"/>
      <c r="L460" s="634"/>
      <c r="M460" s="253"/>
      <c r="N460" s="612"/>
      <c r="O460" s="612"/>
      <c r="P460" s="612"/>
      <c r="Q460" s="612"/>
      <c r="R460" s="253"/>
      <c r="S460" s="632"/>
      <c r="T460" s="633"/>
      <c r="U460" s="633"/>
      <c r="V460" s="634"/>
      <c r="W460" s="253"/>
      <c r="X460" s="632"/>
      <c r="Y460" s="633"/>
      <c r="Z460" s="633"/>
      <c r="AA460" s="634"/>
      <c r="AB460" s="219"/>
    </row>
    <row r="461" spans="1:33" s="169" customFormat="1" ht="14.25" x14ac:dyDescent="0.2">
      <c r="A461" s="226"/>
      <c r="B461" s="219"/>
      <c r="C461" s="219"/>
      <c r="D461" s="632"/>
      <c r="E461" s="633"/>
      <c r="F461" s="633"/>
      <c r="G461" s="634"/>
      <c r="H461" s="253"/>
      <c r="I461" s="632"/>
      <c r="J461" s="633"/>
      <c r="K461" s="633"/>
      <c r="L461" s="634"/>
      <c r="M461" s="253"/>
      <c r="N461" s="612"/>
      <c r="O461" s="612"/>
      <c r="P461" s="612"/>
      <c r="Q461" s="612"/>
      <c r="R461" s="266"/>
      <c r="S461" s="632"/>
      <c r="T461" s="633"/>
      <c r="U461" s="633"/>
      <c r="V461" s="634"/>
      <c r="W461" s="253"/>
      <c r="X461" s="632"/>
      <c r="Y461" s="633"/>
      <c r="Z461" s="633"/>
      <c r="AA461" s="634"/>
      <c r="AB461" s="219"/>
    </row>
    <row r="462" spans="1:33" ht="12.75" customHeight="1" x14ac:dyDescent="0.2">
      <c r="A462" s="219"/>
      <c r="B462" s="219"/>
      <c r="C462" s="219"/>
      <c r="D462" s="596"/>
      <c r="E462" s="597"/>
      <c r="F462" s="597"/>
      <c r="G462" s="598"/>
      <c r="H462" s="253"/>
      <c r="I462" s="596"/>
      <c r="J462" s="597"/>
      <c r="K462" s="597"/>
      <c r="L462" s="598"/>
      <c r="M462" s="253"/>
      <c r="N462" s="612"/>
      <c r="O462" s="612"/>
      <c r="P462" s="612"/>
      <c r="Q462" s="612"/>
      <c r="R462" s="253"/>
      <c r="S462" s="596"/>
      <c r="T462" s="597"/>
      <c r="U462" s="597"/>
      <c r="V462" s="598"/>
      <c r="W462" s="253"/>
      <c r="X462" s="596"/>
      <c r="Y462" s="597"/>
      <c r="Z462" s="597"/>
      <c r="AA462" s="598"/>
      <c r="AB462" s="219"/>
    </row>
    <row r="463" spans="1:33" ht="12.4" customHeight="1" x14ac:dyDescent="0.25">
      <c r="A463" s="219"/>
      <c r="B463" s="219"/>
      <c r="C463" s="219"/>
      <c r="D463" s="599" t="s">
        <v>197</v>
      </c>
      <c r="E463" s="600"/>
      <c r="F463" s="600"/>
      <c r="G463" s="601"/>
      <c r="H463" s="253"/>
      <c r="I463" s="599" t="s">
        <v>199</v>
      </c>
      <c r="J463" s="600"/>
      <c r="K463" s="600"/>
      <c r="L463" s="601"/>
      <c r="M463" s="253"/>
      <c r="N463" s="631"/>
      <c r="O463" s="631"/>
      <c r="P463" s="631"/>
      <c r="Q463" s="631"/>
      <c r="R463" s="253"/>
      <c r="S463" s="599" t="s">
        <v>559</v>
      </c>
      <c r="T463" s="600"/>
      <c r="U463" s="600"/>
      <c r="V463" s="601"/>
      <c r="W463" s="253"/>
      <c r="X463" s="599" t="s">
        <v>560</v>
      </c>
      <c r="Y463" s="600"/>
      <c r="Z463" s="600"/>
      <c r="AA463" s="601"/>
      <c r="AB463" s="219"/>
    </row>
    <row r="464" spans="1:33" ht="27" customHeight="1" x14ac:dyDescent="0.2">
      <c r="A464" s="219"/>
      <c r="B464" s="226"/>
      <c r="C464" s="226"/>
      <c r="D464" s="602" t="s">
        <v>666</v>
      </c>
      <c r="E464" s="603"/>
      <c r="F464" s="603"/>
      <c r="G464" s="606"/>
      <c r="H464" s="266"/>
      <c r="I464" s="602" t="s">
        <v>667</v>
      </c>
      <c r="J464" s="603"/>
      <c r="K464" s="603"/>
      <c r="L464" s="606"/>
      <c r="M464" s="266"/>
      <c r="N464" s="839"/>
      <c r="O464" s="839"/>
      <c r="P464" s="839"/>
      <c r="Q464" s="839"/>
      <c r="R464" s="253"/>
      <c r="S464" s="781" t="s">
        <v>668</v>
      </c>
      <c r="T464" s="782"/>
      <c r="U464" s="782"/>
      <c r="V464" s="783"/>
      <c r="W464" s="266"/>
      <c r="X464" s="781" t="s">
        <v>669</v>
      </c>
      <c r="Y464" s="782"/>
      <c r="Z464" s="782"/>
      <c r="AA464" s="783"/>
      <c r="AB464" s="226"/>
    </row>
    <row r="465" spans="1:28" ht="16.149999999999999" customHeight="1" x14ac:dyDescent="0.25">
      <c r="A465" s="219"/>
      <c r="B465" s="219"/>
      <c r="C465" s="219"/>
      <c r="D465" s="607">
        <v>10</v>
      </c>
      <c r="E465" s="611"/>
      <c r="F465" s="609">
        <v>0</v>
      </c>
      <c r="G465" s="610"/>
      <c r="H465" s="253"/>
      <c r="I465" s="607">
        <v>12.5</v>
      </c>
      <c r="J465" s="611"/>
      <c r="K465" s="609">
        <v>0</v>
      </c>
      <c r="L465" s="610"/>
      <c r="M465" s="253"/>
      <c r="N465" s="807"/>
      <c r="O465" s="807"/>
      <c r="P465" s="774"/>
      <c r="Q465" s="774"/>
      <c r="R465" s="253"/>
      <c r="S465" s="607">
        <v>14</v>
      </c>
      <c r="T465" s="608"/>
      <c r="U465" s="609">
        <v>0</v>
      </c>
      <c r="V465" s="610"/>
      <c r="W465" s="253"/>
      <c r="X465" s="607">
        <v>16.5</v>
      </c>
      <c r="Y465" s="611"/>
      <c r="Z465" s="609">
        <v>0</v>
      </c>
      <c r="AA465" s="610"/>
      <c r="AB465" s="219"/>
    </row>
    <row r="466" spans="1:28" s="386" customFormat="1" ht="16.149999999999999" customHeight="1" x14ac:dyDescent="0.2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4.25" x14ac:dyDescent="0.2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4.25" x14ac:dyDescent="0.2">
      <c r="A468" s="219"/>
      <c r="B468" s="219"/>
      <c r="C468" s="219"/>
      <c r="D468" s="617"/>
      <c r="E468" s="618"/>
      <c r="F468" s="618"/>
      <c r="G468" s="619"/>
      <c r="H468" s="253"/>
      <c r="I468" s="617"/>
      <c r="J468" s="618"/>
      <c r="K468" s="618"/>
      <c r="L468" s="619"/>
      <c r="M468" s="253"/>
      <c r="N468" s="617"/>
      <c r="O468" s="618"/>
      <c r="P468" s="618"/>
      <c r="Q468" s="619"/>
      <c r="R468" s="253"/>
      <c r="S468" s="617"/>
      <c r="T468" s="618"/>
      <c r="U468" s="618"/>
      <c r="V468" s="619"/>
      <c r="W468" s="253"/>
      <c r="X468" s="617"/>
      <c r="Y468" s="618"/>
      <c r="Z468" s="618"/>
      <c r="AA468" s="619"/>
      <c r="AB468" s="219"/>
    </row>
    <row r="469" spans="1:28" ht="14.25" x14ac:dyDescent="0.2">
      <c r="A469" s="219"/>
      <c r="B469" s="219"/>
      <c r="C469" s="219"/>
      <c r="D469" s="632"/>
      <c r="E469" s="633"/>
      <c r="F469" s="633"/>
      <c r="G469" s="634"/>
      <c r="H469" s="253"/>
      <c r="I469" s="632"/>
      <c r="J469" s="633"/>
      <c r="K469" s="633"/>
      <c r="L469" s="634"/>
      <c r="M469" s="253"/>
      <c r="N469" s="632"/>
      <c r="O469" s="633"/>
      <c r="P469" s="633"/>
      <c r="Q469" s="634"/>
      <c r="R469" s="253"/>
      <c r="S469" s="632"/>
      <c r="T469" s="633"/>
      <c r="U469" s="633"/>
      <c r="V469" s="634"/>
      <c r="W469" s="253"/>
      <c r="X469" s="632"/>
      <c r="Y469" s="633"/>
      <c r="Z469" s="633"/>
      <c r="AA469" s="634"/>
      <c r="AB469" s="219"/>
    </row>
    <row r="470" spans="1:28" ht="14.25" x14ac:dyDescent="0.2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4.25" x14ac:dyDescent="0.2">
      <c r="A471" s="219"/>
      <c r="B471" s="219"/>
      <c r="C471" s="219"/>
      <c r="D471" s="632"/>
      <c r="E471" s="633"/>
      <c r="F471" s="633"/>
      <c r="G471" s="634"/>
      <c r="H471" s="253"/>
      <c r="I471" s="632"/>
      <c r="J471" s="633"/>
      <c r="K471" s="633"/>
      <c r="L471" s="634"/>
      <c r="M471" s="253"/>
      <c r="N471" s="632"/>
      <c r="O471" s="633"/>
      <c r="P471" s="633"/>
      <c r="Q471" s="634"/>
      <c r="R471" s="253"/>
      <c r="S471" s="632"/>
      <c r="T471" s="633"/>
      <c r="U471" s="633"/>
      <c r="V471" s="634"/>
      <c r="W471" s="253"/>
      <c r="X471" s="632"/>
      <c r="Y471" s="633"/>
      <c r="Z471" s="633"/>
      <c r="AA471" s="634"/>
      <c r="AB471" s="219"/>
    </row>
    <row r="472" spans="1:28" s="169" customFormat="1" ht="30" customHeight="1" x14ac:dyDescent="0.2">
      <c r="A472" s="226"/>
      <c r="B472" s="219"/>
      <c r="C472" s="219"/>
      <c r="D472" s="632"/>
      <c r="E472" s="633"/>
      <c r="F472" s="633"/>
      <c r="G472" s="634"/>
      <c r="H472" s="253"/>
      <c r="I472" s="632"/>
      <c r="J472" s="633"/>
      <c r="K472" s="633"/>
      <c r="L472" s="634"/>
      <c r="M472" s="253"/>
      <c r="N472" s="632"/>
      <c r="O472" s="633"/>
      <c r="P472" s="633"/>
      <c r="Q472" s="634"/>
      <c r="R472" s="266"/>
      <c r="S472" s="632"/>
      <c r="T472" s="633"/>
      <c r="U472" s="633"/>
      <c r="V472" s="634"/>
      <c r="W472" s="253"/>
      <c r="X472" s="632"/>
      <c r="Y472" s="633"/>
      <c r="Z472" s="633"/>
      <c r="AA472" s="634"/>
      <c r="AB472" s="219"/>
    </row>
    <row r="473" spans="1:28" ht="12.75" customHeight="1" x14ac:dyDescent="0.2">
      <c r="A473" s="219"/>
      <c r="B473" s="219"/>
      <c r="C473" s="219"/>
      <c r="D473" s="596"/>
      <c r="E473" s="597"/>
      <c r="F473" s="597"/>
      <c r="G473" s="598"/>
      <c r="H473" s="253"/>
      <c r="I473" s="596"/>
      <c r="J473" s="597"/>
      <c r="K473" s="597"/>
      <c r="L473" s="598"/>
      <c r="M473" s="253"/>
      <c r="N473" s="596"/>
      <c r="O473" s="597"/>
      <c r="P473" s="597"/>
      <c r="Q473" s="598"/>
      <c r="R473" s="253"/>
      <c r="S473" s="596"/>
      <c r="T473" s="597"/>
      <c r="U473" s="597"/>
      <c r="V473" s="598"/>
      <c r="W473" s="253"/>
      <c r="X473" s="596"/>
      <c r="Y473" s="597"/>
      <c r="Z473" s="597"/>
      <c r="AA473" s="598"/>
      <c r="AB473" s="219"/>
    </row>
    <row r="474" spans="1:28" ht="12.75" customHeight="1" x14ac:dyDescent="0.25">
      <c r="A474" s="219"/>
      <c r="B474" s="219"/>
      <c r="C474" s="219"/>
      <c r="D474" s="599" t="s">
        <v>200</v>
      </c>
      <c r="E474" s="600"/>
      <c r="F474" s="600"/>
      <c r="G474" s="601"/>
      <c r="H474" s="253"/>
      <c r="I474" s="599" t="s">
        <v>201</v>
      </c>
      <c r="J474" s="600"/>
      <c r="K474" s="600"/>
      <c r="L474" s="601"/>
      <c r="M474" s="253"/>
      <c r="N474" s="599" t="s">
        <v>888</v>
      </c>
      <c r="O474" s="600"/>
      <c r="P474" s="600"/>
      <c r="Q474" s="601"/>
      <c r="R474" s="253"/>
      <c r="S474" s="599" t="s">
        <v>925</v>
      </c>
      <c r="T474" s="600"/>
      <c r="U474" s="600"/>
      <c r="V474" s="601"/>
      <c r="W474" s="253"/>
      <c r="X474" s="599" t="s">
        <v>930</v>
      </c>
      <c r="Y474" s="600"/>
      <c r="Z474" s="600"/>
      <c r="AA474" s="601"/>
      <c r="AB474" s="219"/>
    </row>
    <row r="475" spans="1:28" ht="27" customHeight="1" x14ac:dyDescent="0.2">
      <c r="A475" s="219"/>
      <c r="B475" s="226"/>
      <c r="C475" s="226"/>
      <c r="D475" s="602" t="s">
        <v>670</v>
      </c>
      <c r="E475" s="603"/>
      <c r="F475" s="603"/>
      <c r="G475" s="606"/>
      <c r="H475" s="266"/>
      <c r="I475" s="602" t="s">
        <v>671</v>
      </c>
      <c r="J475" s="603"/>
      <c r="K475" s="603"/>
      <c r="L475" s="606"/>
      <c r="M475" s="266"/>
      <c r="N475" s="602" t="s">
        <v>537</v>
      </c>
      <c r="O475" s="603"/>
      <c r="P475" s="604"/>
      <c r="Q475" s="605"/>
      <c r="R475" s="253"/>
      <c r="S475" s="602" t="s">
        <v>927</v>
      </c>
      <c r="T475" s="603"/>
      <c r="U475" s="604"/>
      <c r="V475" s="605"/>
      <c r="W475" s="266"/>
      <c r="X475" s="602" t="s">
        <v>928</v>
      </c>
      <c r="Y475" s="603"/>
      <c r="Z475" s="603"/>
      <c r="AA475" s="606"/>
      <c r="AB475" s="226"/>
    </row>
    <row r="476" spans="1:28" ht="16.149999999999999" customHeight="1" x14ac:dyDescent="0.25">
      <c r="A476" s="219"/>
      <c r="B476" s="219"/>
      <c r="C476" s="219"/>
      <c r="D476" s="607">
        <v>10.5</v>
      </c>
      <c r="E476" s="611"/>
      <c r="F476" s="609">
        <v>8</v>
      </c>
      <c r="G476" s="610"/>
      <c r="H476" s="253"/>
      <c r="I476" s="607">
        <v>8.5</v>
      </c>
      <c r="J476" s="611"/>
      <c r="K476" s="609">
        <v>4</v>
      </c>
      <c r="L476" s="610"/>
      <c r="M476" s="253"/>
      <c r="N476" s="613">
        <v>30</v>
      </c>
      <c r="O476" s="614"/>
      <c r="P476" s="624">
        <v>0</v>
      </c>
      <c r="Q476" s="625"/>
      <c r="R476" s="253"/>
      <c r="S476" s="607">
        <v>14.5</v>
      </c>
      <c r="T476" s="608"/>
      <c r="U476" s="609">
        <v>0</v>
      </c>
      <c r="V476" s="610"/>
      <c r="W476" s="253"/>
      <c r="X476" s="607">
        <v>12.5</v>
      </c>
      <c r="Y476" s="611"/>
      <c r="Z476" s="609">
        <v>0</v>
      </c>
      <c r="AA476" s="610"/>
      <c r="AB476" s="219"/>
    </row>
    <row r="477" spans="1:28" s="386" customFormat="1" ht="16.149999999999999" customHeight="1" x14ac:dyDescent="0.2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149999999999999" customHeight="1" x14ac:dyDescent="0.2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149999999999999" customHeight="1" x14ac:dyDescent="0.2">
      <c r="A479" s="384"/>
      <c r="B479" s="384"/>
      <c r="C479" s="384"/>
      <c r="D479" s="617"/>
      <c r="E479" s="618"/>
      <c r="F479" s="618"/>
      <c r="G479" s="619"/>
      <c r="H479" s="253"/>
      <c r="I479" s="617"/>
      <c r="J479" s="618"/>
      <c r="K479" s="618"/>
      <c r="L479" s="619"/>
      <c r="M479" s="449"/>
      <c r="N479" s="617"/>
      <c r="O479" s="618"/>
      <c r="P479" s="618"/>
      <c r="Q479" s="619"/>
      <c r="R479" s="449"/>
      <c r="S479" s="617"/>
      <c r="T479" s="618"/>
      <c r="U479" s="618"/>
      <c r="V479" s="619"/>
      <c r="W479" s="253"/>
      <c r="X479" s="617"/>
      <c r="Y479" s="618"/>
      <c r="Z479" s="618"/>
      <c r="AA479" s="619"/>
      <c r="AB479" s="384"/>
    </row>
    <row r="480" spans="1:28" s="386" customFormat="1" ht="16.149999999999999" customHeight="1" x14ac:dyDescent="0.2">
      <c r="A480" s="384"/>
      <c r="B480" s="384"/>
      <c r="C480" s="384"/>
      <c r="D480" s="632"/>
      <c r="E480" s="633"/>
      <c r="F480" s="633"/>
      <c r="G480" s="634"/>
      <c r="H480" s="253"/>
      <c r="I480" s="632"/>
      <c r="J480" s="633"/>
      <c r="K480" s="633"/>
      <c r="L480" s="634"/>
      <c r="M480" s="449"/>
      <c r="N480" s="632"/>
      <c r="O480" s="633"/>
      <c r="P480" s="633"/>
      <c r="Q480" s="634"/>
      <c r="R480" s="449"/>
      <c r="S480" s="632"/>
      <c r="T480" s="633"/>
      <c r="U480" s="633"/>
      <c r="V480" s="634"/>
      <c r="W480" s="253"/>
      <c r="X480" s="632"/>
      <c r="Y480" s="633"/>
      <c r="Z480" s="633"/>
      <c r="AA480" s="634"/>
      <c r="AB480" s="384"/>
    </row>
    <row r="481" spans="1:28" s="386" customFormat="1" ht="16.149999999999999" customHeight="1" x14ac:dyDescent="0.2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149999999999999" customHeight="1" x14ac:dyDescent="0.2">
      <c r="A482" s="384"/>
      <c r="B482" s="384"/>
      <c r="C482" s="384"/>
      <c r="D482" s="632"/>
      <c r="E482" s="633"/>
      <c r="F482" s="633"/>
      <c r="G482" s="634"/>
      <c r="H482" s="253"/>
      <c r="I482" s="632"/>
      <c r="J482" s="633"/>
      <c r="K482" s="633"/>
      <c r="L482" s="634"/>
      <c r="M482" s="449"/>
      <c r="N482" s="632"/>
      <c r="O482" s="633"/>
      <c r="P482" s="633"/>
      <c r="Q482" s="634"/>
      <c r="R482" s="449"/>
      <c r="S482" s="632"/>
      <c r="T482" s="633"/>
      <c r="U482" s="633"/>
      <c r="V482" s="634"/>
      <c r="W482" s="253"/>
      <c r="X482" s="632"/>
      <c r="Y482" s="633"/>
      <c r="Z482" s="633"/>
      <c r="AA482" s="634"/>
      <c r="AB482" s="384"/>
    </row>
    <row r="483" spans="1:28" s="386" customFormat="1" ht="16.149999999999999" customHeight="1" x14ac:dyDescent="0.2">
      <c r="A483" s="384"/>
      <c r="B483" s="384"/>
      <c r="C483" s="384"/>
      <c r="D483" s="632"/>
      <c r="E483" s="633"/>
      <c r="F483" s="633"/>
      <c r="G483" s="634"/>
      <c r="H483" s="253"/>
      <c r="I483" s="632"/>
      <c r="J483" s="633"/>
      <c r="K483" s="633"/>
      <c r="L483" s="634"/>
      <c r="M483" s="449"/>
      <c r="N483" s="632"/>
      <c r="O483" s="633"/>
      <c r="P483" s="633"/>
      <c r="Q483" s="634"/>
      <c r="R483" s="449"/>
      <c r="S483" s="632"/>
      <c r="T483" s="633"/>
      <c r="U483" s="633"/>
      <c r="V483" s="634"/>
      <c r="W483" s="253"/>
      <c r="X483" s="632"/>
      <c r="Y483" s="633"/>
      <c r="Z483" s="633"/>
      <c r="AA483" s="634"/>
      <c r="AB483" s="384"/>
    </row>
    <row r="484" spans="1:28" s="386" customFormat="1" ht="24" customHeight="1" x14ac:dyDescent="0.2">
      <c r="A484" s="384"/>
      <c r="B484" s="384"/>
      <c r="C484" s="384"/>
      <c r="D484" s="596"/>
      <c r="E484" s="597"/>
      <c r="F484" s="597"/>
      <c r="G484" s="598"/>
      <c r="H484" s="253"/>
      <c r="I484" s="596"/>
      <c r="J484" s="597"/>
      <c r="K484" s="597"/>
      <c r="L484" s="598"/>
      <c r="M484" s="449"/>
      <c r="N484" s="596"/>
      <c r="O484" s="597"/>
      <c r="P484" s="597"/>
      <c r="Q484" s="598"/>
      <c r="R484" s="449"/>
      <c r="S484" s="596"/>
      <c r="T484" s="597"/>
      <c r="U484" s="597"/>
      <c r="V484" s="598"/>
      <c r="W484" s="253"/>
      <c r="X484" s="596"/>
      <c r="Y484" s="597"/>
      <c r="Z484" s="597"/>
      <c r="AA484" s="598"/>
      <c r="AB484" s="384"/>
    </row>
    <row r="485" spans="1:28" s="386" customFormat="1" ht="16.149999999999999" customHeight="1" x14ac:dyDescent="0.25">
      <c r="A485" s="384"/>
      <c r="B485" s="384"/>
      <c r="C485" s="384"/>
      <c r="D485" s="599" t="s">
        <v>202</v>
      </c>
      <c r="E485" s="600"/>
      <c r="F485" s="600"/>
      <c r="G485" s="601"/>
      <c r="H485" s="253"/>
      <c r="I485" s="599" t="s">
        <v>203</v>
      </c>
      <c r="J485" s="600"/>
      <c r="K485" s="600"/>
      <c r="L485" s="601"/>
      <c r="M485" s="449"/>
      <c r="N485" s="599" t="s">
        <v>889</v>
      </c>
      <c r="O485" s="600"/>
      <c r="P485" s="600"/>
      <c r="Q485" s="601"/>
      <c r="R485" s="449"/>
      <c r="S485" s="599" t="s">
        <v>929</v>
      </c>
      <c r="T485" s="600"/>
      <c r="U485" s="600"/>
      <c r="V485" s="601"/>
      <c r="W485" s="253"/>
      <c r="X485" s="599" t="s">
        <v>926</v>
      </c>
      <c r="Y485" s="600"/>
      <c r="Z485" s="600"/>
      <c r="AA485" s="601"/>
      <c r="AB485" s="384"/>
    </row>
    <row r="486" spans="1:28" s="386" customFormat="1" ht="27.75" customHeight="1" x14ac:dyDescent="0.2">
      <c r="A486" s="384"/>
      <c r="B486" s="384"/>
      <c r="C486" s="384"/>
      <c r="D486" s="602" t="s">
        <v>672</v>
      </c>
      <c r="E486" s="603"/>
      <c r="F486" s="604"/>
      <c r="G486" s="605"/>
      <c r="H486" s="266"/>
      <c r="I486" s="602" t="s">
        <v>673</v>
      </c>
      <c r="J486" s="603"/>
      <c r="K486" s="603"/>
      <c r="L486" s="606"/>
      <c r="M486" s="449"/>
      <c r="N486" s="602" t="s">
        <v>536</v>
      </c>
      <c r="O486" s="603"/>
      <c r="P486" s="604"/>
      <c r="Q486" s="605"/>
      <c r="R486" s="449"/>
      <c r="S486" s="602" t="s">
        <v>931</v>
      </c>
      <c r="T486" s="603"/>
      <c r="U486" s="604"/>
      <c r="V486" s="605"/>
      <c r="W486" s="266"/>
      <c r="X486" s="602" t="s">
        <v>932</v>
      </c>
      <c r="Y486" s="603"/>
      <c r="Z486" s="603"/>
      <c r="AA486" s="606"/>
      <c r="AB486" s="384"/>
    </row>
    <row r="487" spans="1:28" s="386" customFormat="1" ht="16.149999999999999" customHeight="1" x14ac:dyDescent="0.25">
      <c r="A487" s="384"/>
      <c r="B487" s="384"/>
      <c r="C487" s="384"/>
      <c r="D487" s="607">
        <v>26.5</v>
      </c>
      <c r="E487" s="608"/>
      <c r="F487" s="609">
        <v>0</v>
      </c>
      <c r="G487" s="610"/>
      <c r="H487" s="253"/>
      <c r="I487" s="607">
        <v>18.25</v>
      </c>
      <c r="J487" s="611"/>
      <c r="K487" s="609">
        <v>0</v>
      </c>
      <c r="L487" s="610"/>
      <c r="M487" s="449"/>
      <c r="N487" s="613">
        <v>34</v>
      </c>
      <c r="O487" s="614"/>
      <c r="P487" s="624">
        <v>0</v>
      </c>
      <c r="Q487" s="625"/>
      <c r="R487" s="449"/>
      <c r="S487" s="607">
        <v>31.3</v>
      </c>
      <c r="T487" s="608"/>
      <c r="U487" s="609">
        <v>0</v>
      </c>
      <c r="V487" s="610"/>
      <c r="W487" s="253"/>
      <c r="X487" s="607">
        <v>23.05</v>
      </c>
      <c r="Y487" s="611"/>
      <c r="Z487" s="609">
        <v>0</v>
      </c>
      <c r="AA487" s="610"/>
      <c r="AB487" s="384"/>
    </row>
    <row r="488" spans="1:28" ht="27" customHeight="1" x14ac:dyDescent="0.2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25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3">
      <c r="A490" s="381"/>
      <c r="B490" s="242"/>
      <c r="C490" s="242"/>
      <c r="D490" s="843" t="s">
        <v>171</v>
      </c>
      <c r="E490" s="843"/>
      <c r="F490" s="843"/>
      <c r="G490" s="843"/>
      <c r="H490" s="843"/>
      <c r="I490" s="843"/>
      <c r="J490" s="843"/>
      <c r="K490" s="843"/>
      <c r="L490" s="843"/>
      <c r="M490" s="843"/>
      <c r="N490" s="843"/>
      <c r="O490" s="843"/>
      <c r="P490" s="843"/>
      <c r="Q490" s="843"/>
      <c r="R490" s="843"/>
      <c r="S490" s="843"/>
      <c r="T490" s="843"/>
      <c r="U490" s="843"/>
      <c r="V490" s="843"/>
      <c r="W490" s="843"/>
      <c r="X490" s="843"/>
      <c r="Y490" s="843"/>
      <c r="Z490" s="843"/>
      <c r="AA490" s="843"/>
      <c r="AB490" s="242"/>
    </row>
    <row r="491" spans="1:28" s="176" customFormat="1" ht="27" customHeight="1" x14ac:dyDescent="0.3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">
      <c r="A492" s="219"/>
      <c r="B492" s="219"/>
      <c r="C492" s="219"/>
      <c r="D492" s="617"/>
      <c r="E492" s="618"/>
      <c r="F492" s="618"/>
      <c r="G492" s="619"/>
      <c r="H492" s="253"/>
      <c r="I492" s="682"/>
      <c r="J492" s="683"/>
      <c r="K492" s="683"/>
      <c r="L492" s="684"/>
      <c r="M492" s="253"/>
      <c r="N492" s="617"/>
      <c r="O492" s="618"/>
      <c r="P492" s="618"/>
      <c r="Q492" s="619"/>
      <c r="R492" s="253"/>
      <c r="S492" s="617"/>
      <c r="T492" s="618"/>
      <c r="U492" s="618"/>
      <c r="V492" s="619"/>
      <c r="W492" s="253"/>
      <c r="X492" s="617"/>
      <c r="Y492" s="618"/>
      <c r="Z492" s="618"/>
      <c r="AA492" s="619"/>
      <c r="AB492" s="219"/>
    </row>
    <row r="493" spans="1:28" ht="14.25" x14ac:dyDescent="0.2">
      <c r="A493" s="219"/>
      <c r="B493" s="219"/>
      <c r="C493" s="219"/>
      <c r="D493" s="632"/>
      <c r="E493" s="633"/>
      <c r="F493" s="633"/>
      <c r="G493" s="634"/>
      <c r="H493" s="253"/>
      <c r="I493" s="685"/>
      <c r="J493" s="686"/>
      <c r="K493" s="686"/>
      <c r="L493" s="687"/>
      <c r="M493" s="253"/>
      <c r="N493" s="632"/>
      <c r="O493" s="633"/>
      <c r="P493" s="633"/>
      <c r="Q493" s="634"/>
      <c r="R493" s="253"/>
      <c r="S493" s="632"/>
      <c r="T493" s="633"/>
      <c r="U493" s="633"/>
      <c r="V493" s="634"/>
      <c r="W493" s="253"/>
      <c r="X493" s="632"/>
      <c r="Y493" s="633"/>
      <c r="Z493" s="633"/>
      <c r="AA493" s="634"/>
      <c r="AB493" s="219"/>
    </row>
    <row r="494" spans="1:28" ht="14.25" x14ac:dyDescent="0.2">
      <c r="A494" s="219"/>
      <c r="B494" s="219"/>
      <c r="C494" s="219"/>
      <c r="D494" s="632"/>
      <c r="E494" s="633"/>
      <c r="F494" s="633"/>
      <c r="G494" s="634"/>
      <c r="H494" s="253"/>
      <c r="I494" s="685"/>
      <c r="J494" s="686"/>
      <c r="K494" s="686"/>
      <c r="L494" s="687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32"/>
      <c r="E495" s="633"/>
      <c r="F495" s="633"/>
      <c r="G495" s="634"/>
      <c r="H495" s="253"/>
      <c r="I495" s="685"/>
      <c r="J495" s="686"/>
      <c r="K495" s="686"/>
      <c r="L495" s="687"/>
      <c r="M495" s="253"/>
      <c r="N495" s="632"/>
      <c r="O495" s="633"/>
      <c r="P495" s="633"/>
      <c r="Q495" s="634"/>
      <c r="R495" s="253"/>
      <c r="S495" s="632"/>
      <c r="T495" s="633"/>
      <c r="U495" s="633"/>
      <c r="V495" s="634"/>
      <c r="W495" s="253"/>
      <c r="X495" s="632"/>
      <c r="Y495" s="633"/>
      <c r="Z495" s="633"/>
      <c r="AA495" s="634"/>
      <c r="AB495" s="219"/>
    </row>
    <row r="496" spans="1:28" ht="14.25" x14ac:dyDescent="0.2">
      <c r="A496" s="219"/>
      <c r="B496" s="219"/>
      <c r="C496" s="219"/>
      <c r="D496" s="632"/>
      <c r="E496" s="633"/>
      <c r="F496" s="633"/>
      <c r="G496" s="634"/>
      <c r="H496" s="253"/>
      <c r="I496" s="685"/>
      <c r="J496" s="686"/>
      <c r="K496" s="686"/>
      <c r="L496" s="687"/>
      <c r="M496" s="253"/>
      <c r="N496" s="632"/>
      <c r="O496" s="633"/>
      <c r="P496" s="633"/>
      <c r="Q496" s="634"/>
      <c r="R496" s="253"/>
      <c r="S496" s="632"/>
      <c r="T496" s="633"/>
      <c r="U496" s="633"/>
      <c r="V496" s="634"/>
      <c r="W496" s="253"/>
      <c r="X496" s="632"/>
      <c r="Y496" s="633"/>
      <c r="Z496" s="633"/>
      <c r="AA496" s="634"/>
      <c r="AB496" s="219"/>
    </row>
    <row r="497" spans="1:28" ht="14.25" x14ac:dyDescent="0.2">
      <c r="A497" s="219"/>
      <c r="B497" s="219"/>
      <c r="C497" s="219"/>
      <c r="D497" s="596"/>
      <c r="E497" s="597"/>
      <c r="F497" s="597"/>
      <c r="G497" s="598"/>
      <c r="H497" s="253"/>
      <c r="I497" s="688"/>
      <c r="J497" s="689"/>
      <c r="K497" s="689"/>
      <c r="L497" s="690"/>
      <c r="M497" s="253"/>
      <c r="N497" s="596"/>
      <c r="O497" s="597"/>
      <c r="P497" s="597"/>
      <c r="Q497" s="598"/>
      <c r="R497" s="253"/>
      <c r="S497" s="596"/>
      <c r="T497" s="597"/>
      <c r="U497" s="597"/>
      <c r="V497" s="598"/>
      <c r="W497" s="253"/>
      <c r="X497" s="596"/>
      <c r="Y497" s="597"/>
      <c r="Z497" s="597"/>
      <c r="AA497" s="598"/>
      <c r="AB497" s="219"/>
    </row>
    <row r="498" spans="1:28" ht="15" x14ac:dyDescent="0.25">
      <c r="A498" s="219"/>
      <c r="B498" s="219"/>
      <c r="C498" s="219"/>
      <c r="D498" s="599" t="s">
        <v>207</v>
      </c>
      <c r="E498" s="600"/>
      <c r="F498" s="600"/>
      <c r="G498" s="601"/>
      <c r="H498" s="253"/>
      <c r="I498" s="599" t="s">
        <v>206</v>
      </c>
      <c r="J498" s="600"/>
      <c r="K498" s="600"/>
      <c r="L498" s="601"/>
      <c r="M498" s="253"/>
      <c r="N498" s="599" t="s">
        <v>205</v>
      </c>
      <c r="O498" s="600"/>
      <c r="P498" s="600"/>
      <c r="Q498" s="601"/>
      <c r="R498" s="253"/>
      <c r="S498" s="599" t="s">
        <v>204</v>
      </c>
      <c r="T498" s="600"/>
      <c r="U498" s="600"/>
      <c r="V498" s="601"/>
      <c r="W498" s="253"/>
      <c r="X498" s="599" t="s">
        <v>315</v>
      </c>
      <c r="Y498" s="600"/>
      <c r="Z498" s="600"/>
      <c r="AA498" s="601"/>
      <c r="AB498" s="219"/>
    </row>
    <row r="499" spans="1:28" s="169" customFormat="1" ht="27" customHeight="1" x14ac:dyDescent="0.2">
      <c r="A499" s="226"/>
      <c r="B499" s="226"/>
      <c r="C499" s="226"/>
      <c r="D499" s="602" t="s">
        <v>674</v>
      </c>
      <c r="E499" s="603"/>
      <c r="F499" s="604"/>
      <c r="G499" s="605"/>
      <c r="H499" s="266"/>
      <c r="I499" s="602" t="s">
        <v>675</v>
      </c>
      <c r="J499" s="603"/>
      <c r="K499" s="604"/>
      <c r="L499" s="605"/>
      <c r="M499" s="266"/>
      <c r="N499" s="602" t="s">
        <v>676</v>
      </c>
      <c r="O499" s="603"/>
      <c r="P499" s="604"/>
      <c r="Q499" s="605"/>
      <c r="R499" s="266"/>
      <c r="S499" s="602" t="s">
        <v>677</v>
      </c>
      <c r="T499" s="603"/>
      <c r="U499" s="604"/>
      <c r="V499" s="605"/>
      <c r="W499" s="266"/>
      <c r="X499" s="602" t="s">
        <v>678</v>
      </c>
      <c r="Y499" s="603"/>
      <c r="Z499" s="604"/>
      <c r="AA499" s="605"/>
      <c r="AB499" s="226"/>
    </row>
    <row r="500" spans="1:28" ht="16.149999999999999" customHeight="1" x14ac:dyDescent="0.25">
      <c r="A500" s="219"/>
      <c r="B500" s="219"/>
      <c r="C500" s="219"/>
      <c r="D500" s="991" t="s">
        <v>958</v>
      </c>
      <c r="E500" s="992"/>
      <c r="F500" s="992"/>
      <c r="G500" s="993"/>
      <c r="H500" s="253"/>
      <c r="I500" s="991" t="s">
        <v>958</v>
      </c>
      <c r="J500" s="992"/>
      <c r="K500" s="992"/>
      <c r="L500" s="993"/>
      <c r="M500" s="253"/>
      <c r="N500" s="991" t="s">
        <v>958</v>
      </c>
      <c r="O500" s="992"/>
      <c r="P500" s="992"/>
      <c r="Q500" s="993"/>
      <c r="R500" s="253"/>
      <c r="S500" s="991" t="s">
        <v>958</v>
      </c>
      <c r="T500" s="992"/>
      <c r="U500" s="992"/>
      <c r="V500" s="993"/>
      <c r="W500" s="253"/>
      <c r="X500" s="991" t="s">
        <v>958</v>
      </c>
      <c r="Y500" s="992"/>
      <c r="Z500" s="992"/>
      <c r="AA500" s="993"/>
      <c r="AB500" s="219"/>
    </row>
    <row r="501" spans="1:28" ht="14.25" x14ac:dyDescent="0.2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4.25" x14ac:dyDescent="0.2">
      <c r="A502" s="219"/>
      <c r="B502" s="219"/>
      <c r="C502" s="219"/>
      <c r="D502" s="617"/>
      <c r="E502" s="618"/>
      <c r="F502" s="618"/>
      <c r="G502" s="619"/>
      <c r="H502" s="253"/>
      <c r="I502" s="617"/>
      <c r="J502" s="618"/>
      <c r="K502" s="618"/>
      <c r="L502" s="619"/>
      <c r="M502" s="253"/>
      <c r="N502" s="617"/>
      <c r="O502" s="618"/>
      <c r="P502" s="618"/>
      <c r="Q502" s="619"/>
      <c r="R502" s="253"/>
      <c r="S502" s="617"/>
      <c r="T502" s="618"/>
      <c r="U502" s="618"/>
      <c r="V502" s="619"/>
      <c r="W502" s="253"/>
      <c r="X502" s="1022"/>
      <c r="Y502" s="1023"/>
      <c r="Z502" s="1023"/>
      <c r="AA502" s="1024"/>
      <c r="AB502" s="219"/>
    </row>
    <row r="503" spans="1:28" ht="14.25" x14ac:dyDescent="0.2">
      <c r="A503" s="219"/>
      <c r="B503" s="219"/>
      <c r="C503" s="219"/>
      <c r="D503" s="632"/>
      <c r="E503" s="633"/>
      <c r="F503" s="633"/>
      <c r="G503" s="634"/>
      <c r="H503" s="253"/>
      <c r="I503" s="632"/>
      <c r="J503" s="633"/>
      <c r="K503" s="633"/>
      <c r="L503" s="634"/>
      <c r="M503" s="253"/>
      <c r="N503" s="632"/>
      <c r="O503" s="633"/>
      <c r="P503" s="633"/>
      <c r="Q503" s="634"/>
      <c r="R503" s="253"/>
      <c r="S503" s="632"/>
      <c r="T503" s="633"/>
      <c r="U503" s="633"/>
      <c r="V503" s="634"/>
      <c r="W503" s="253"/>
      <c r="X503" s="1025"/>
      <c r="Y503" s="1026"/>
      <c r="Z503" s="1026"/>
      <c r="AA503" s="1027"/>
      <c r="AB503" s="219"/>
    </row>
    <row r="504" spans="1:28" ht="14.25" x14ac:dyDescent="0.2">
      <c r="A504" s="219"/>
      <c r="B504" s="219"/>
      <c r="C504" s="219"/>
      <c r="D504" s="632"/>
      <c r="E504" s="633"/>
      <c r="F504" s="633"/>
      <c r="G504" s="634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4.25" x14ac:dyDescent="0.2">
      <c r="A505" s="219"/>
      <c r="B505" s="219"/>
      <c r="C505" s="219"/>
      <c r="D505" s="632"/>
      <c r="E505" s="633"/>
      <c r="F505" s="633"/>
      <c r="G505" s="634"/>
      <c r="H505" s="253"/>
      <c r="I505" s="632"/>
      <c r="J505" s="633"/>
      <c r="K505" s="633"/>
      <c r="L505" s="634"/>
      <c r="M505" s="253"/>
      <c r="N505" s="632"/>
      <c r="O505" s="633"/>
      <c r="P505" s="633"/>
      <c r="Q505" s="634"/>
      <c r="R505" s="253"/>
      <c r="S505" s="632"/>
      <c r="T505" s="633"/>
      <c r="U505" s="633"/>
      <c r="V505" s="634"/>
      <c r="W505" s="253"/>
      <c r="X505" s="1025"/>
      <c r="Y505" s="1026"/>
      <c r="Z505" s="1026"/>
      <c r="AA505" s="1027"/>
      <c r="AB505" s="219"/>
    </row>
    <row r="506" spans="1:28" ht="14.25" x14ac:dyDescent="0.2">
      <c r="A506" s="219"/>
      <c r="B506" s="219"/>
      <c r="C506" s="219"/>
      <c r="D506" s="632"/>
      <c r="E506" s="633"/>
      <c r="F506" s="633"/>
      <c r="G506" s="634"/>
      <c r="H506" s="253"/>
      <c r="I506" s="632"/>
      <c r="J506" s="633"/>
      <c r="K506" s="633"/>
      <c r="L506" s="634"/>
      <c r="M506" s="253"/>
      <c r="N506" s="632"/>
      <c r="O506" s="633"/>
      <c r="P506" s="633"/>
      <c r="Q506" s="634"/>
      <c r="R506" s="253"/>
      <c r="S506" s="632"/>
      <c r="T506" s="633"/>
      <c r="U506" s="633"/>
      <c r="V506" s="634"/>
      <c r="W506" s="253"/>
      <c r="X506" s="1025"/>
      <c r="Y506" s="1026"/>
      <c r="Z506" s="1026"/>
      <c r="AA506" s="1027"/>
      <c r="AB506" s="219"/>
    </row>
    <row r="507" spans="1:28" s="178" customFormat="1" ht="14.25" x14ac:dyDescent="0.2">
      <c r="A507" s="380"/>
      <c r="B507" s="219"/>
      <c r="C507" s="219"/>
      <c r="D507" s="596"/>
      <c r="E507" s="597"/>
      <c r="F507" s="597"/>
      <c r="G507" s="598"/>
      <c r="H507" s="253"/>
      <c r="I507" s="596"/>
      <c r="J507" s="597"/>
      <c r="K507" s="597"/>
      <c r="L507" s="598"/>
      <c r="M507" s="253"/>
      <c r="N507" s="632"/>
      <c r="O507" s="633"/>
      <c r="P507" s="633"/>
      <c r="Q507" s="634"/>
      <c r="R507" s="253"/>
      <c r="S507" s="632"/>
      <c r="T507" s="633"/>
      <c r="U507" s="633"/>
      <c r="V507" s="634"/>
      <c r="W507" s="253"/>
      <c r="X507" s="1028"/>
      <c r="Y507" s="1029"/>
      <c r="Z507" s="1029"/>
      <c r="AA507" s="1030"/>
      <c r="AB507" s="219"/>
    </row>
    <row r="508" spans="1:28" ht="15" x14ac:dyDescent="0.25">
      <c r="A508" s="219"/>
      <c r="B508" s="219"/>
      <c r="C508" s="219"/>
      <c r="D508" s="599" t="s">
        <v>208</v>
      </c>
      <c r="E508" s="600"/>
      <c r="F508" s="600"/>
      <c r="G508" s="601"/>
      <c r="H508" s="253"/>
      <c r="I508" s="599" t="s">
        <v>471</v>
      </c>
      <c r="J508" s="600"/>
      <c r="K508" s="600"/>
      <c r="L508" s="601"/>
      <c r="M508" s="253"/>
      <c r="N508" s="647" t="s">
        <v>470</v>
      </c>
      <c r="O508" s="648"/>
      <c r="P508" s="648"/>
      <c r="Q508" s="649"/>
      <c r="R508" s="253"/>
      <c r="S508" s="647" t="s">
        <v>891</v>
      </c>
      <c r="T508" s="648"/>
      <c r="U508" s="648"/>
      <c r="V508" s="649"/>
      <c r="W508" s="253"/>
      <c r="X508" s="691" t="s">
        <v>976</v>
      </c>
      <c r="Y508" s="692"/>
      <c r="Z508" s="692"/>
      <c r="AA508" s="693"/>
      <c r="AB508" s="219"/>
    </row>
    <row r="509" spans="1:28" s="169" customFormat="1" ht="27" customHeight="1" x14ac:dyDescent="0.2">
      <c r="A509" s="226"/>
      <c r="B509" s="226"/>
      <c r="C509" s="226"/>
      <c r="D509" s="980" t="s">
        <v>679</v>
      </c>
      <c r="E509" s="981"/>
      <c r="F509" s="981"/>
      <c r="G509" s="982"/>
      <c r="H509" s="266"/>
      <c r="I509" s="984" t="s">
        <v>486</v>
      </c>
      <c r="J509" s="985"/>
      <c r="K509" s="985"/>
      <c r="L509" s="986"/>
      <c r="M509" s="266"/>
      <c r="N509" s="864" t="s">
        <v>487</v>
      </c>
      <c r="O509" s="865"/>
      <c r="P509" s="865"/>
      <c r="Q509" s="866"/>
      <c r="R509" s="266"/>
      <c r="S509" s="987" t="s">
        <v>892</v>
      </c>
      <c r="T509" s="865"/>
      <c r="U509" s="865"/>
      <c r="V509" s="866"/>
      <c r="W509" s="266"/>
      <c r="X509" s="694" t="s">
        <v>977</v>
      </c>
      <c r="Y509" s="695"/>
      <c r="Z509" s="696"/>
      <c r="AA509" s="697"/>
      <c r="AB509" s="226"/>
    </row>
    <row r="510" spans="1:28" ht="16.149999999999999" customHeight="1" x14ac:dyDescent="0.25">
      <c r="A510" s="219"/>
      <c r="B510" s="219"/>
      <c r="C510" s="219"/>
      <c r="D510" s="814">
        <v>1950</v>
      </c>
      <c r="E510" s="814"/>
      <c r="F510" s="983">
        <v>0</v>
      </c>
      <c r="G510" s="983"/>
      <c r="H510" s="253"/>
      <c r="I510" s="814">
        <v>2600</v>
      </c>
      <c r="J510" s="814"/>
      <c r="K510" s="983">
        <v>0</v>
      </c>
      <c r="L510" s="983"/>
      <c r="M510" s="253"/>
      <c r="N510" s="814" t="s">
        <v>469</v>
      </c>
      <c r="O510" s="814"/>
      <c r="P510" s="983">
        <v>0</v>
      </c>
      <c r="Q510" s="983"/>
      <c r="R510" s="253"/>
      <c r="S510" s="991" t="s">
        <v>958</v>
      </c>
      <c r="T510" s="992"/>
      <c r="U510" s="992"/>
      <c r="V510" s="993"/>
      <c r="W510" s="253"/>
      <c r="X510" s="991" t="s">
        <v>958</v>
      </c>
      <c r="Y510" s="992"/>
      <c r="Z510" s="992"/>
      <c r="AA510" s="993"/>
      <c r="AB510" s="219"/>
    </row>
    <row r="511" spans="1:28" ht="14.25" x14ac:dyDescent="0.2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">
      <c r="A512" s="219"/>
      <c r="B512" s="219"/>
      <c r="C512" s="219"/>
      <c r="D512" s="617"/>
      <c r="E512" s="618"/>
      <c r="F512" s="618"/>
      <c r="G512" s="619"/>
      <c r="H512" s="253"/>
      <c r="I512" s="617"/>
      <c r="J512" s="618"/>
      <c r="K512" s="618"/>
      <c r="L512" s="619"/>
      <c r="M512" s="253"/>
      <c r="N512" s="617"/>
      <c r="O512" s="618"/>
      <c r="P512" s="618"/>
      <c r="Q512" s="619"/>
      <c r="R512" s="253"/>
      <c r="S512" s="617"/>
      <c r="T512" s="618"/>
      <c r="U512" s="618"/>
      <c r="V512" s="619"/>
      <c r="W512" s="253"/>
      <c r="X512" s="617"/>
      <c r="Y512" s="618"/>
      <c r="Z512" s="618"/>
      <c r="AA512" s="619"/>
      <c r="AB512" s="219"/>
    </row>
    <row r="513" spans="1:28" ht="14.25" x14ac:dyDescent="0.2">
      <c r="A513" s="219"/>
      <c r="B513" s="219"/>
      <c r="C513" s="219"/>
      <c r="D513" s="632"/>
      <c r="E513" s="633"/>
      <c r="F513" s="633"/>
      <c r="G513" s="634"/>
      <c r="H513" s="253"/>
      <c r="I513" s="632"/>
      <c r="J513" s="633"/>
      <c r="K513" s="633"/>
      <c r="L513" s="634"/>
      <c r="M513" s="253"/>
      <c r="N513" s="632"/>
      <c r="O513" s="633"/>
      <c r="P513" s="633"/>
      <c r="Q513" s="634"/>
      <c r="R513" s="253"/>
      <c r="S513" s="632"/>
      <c r="T513" s="633"/>
      <c r="U513" s="633"/>
      <c r="V513" s="634"/>
      <c r="W513" s="253"/>
      <c r="X513" s="632"/>
      <c r="Y513" s="633"/>
      <c r="Z513" s="633"/>
      <c r="AA513" s="634"/>
      <c r="AB513" s="219"/>
    </row>
    <row r="514" spans="1:28" ht="14.25" x14ac:dyDescent="0.2">
      <c r="A514" s="219"/>
      <c r="B514" s="219"/>
      <c r="C514" s="219"/>
      <c r="D514" s="632"/>
      <c r="E514" s="633"/>
      <c r="F514" s="633"/>
      <c r="G514" s="634"/>
      <c r="H514" s="253"/>
      <c r="I514" s="632"/>
      <c r="J514" s="633"/>
      <c r="K514" s="633"/>
      <c r="L514" s="634"/>
      <c r="M514" s="253"/>
      <c r="N514" s="632"/>
      <c r="O514" s="633"/>
      <c r="P514" s="633"/>
      <c r="Q514" s="634"/>
      <c r="R514" s="253"/>
      <c r="S514" s="632"/>
      <c r="T514" s="633"/>
      <c r="U514" s="633"/>
      <c r="V514" s="634"/>
      <c r="W514" s="253"/>
      <c r="X514" s="632"/>
      <c r="Y514" s="633"/>
      <c r="Z514" s="633"/>
      <c r="AA514" s="634"/>
      <c r="AB514" s="219"/>
    </row>
    <row r="515" spans="1:28" ht="14.25" x14ac:dyDescent="0.2">
      <c r="A515" s="219"/>
      <c r="B515" s="219"/>
      <c r="C515" s="219"/>
      <c r="D515" s="632"/>
      <c r="E515" s="633"/>
      <c r="F515" s="633"/>
      <c r="G515" s="634"/>
      <c r="H515" s="253"/>
      <c r="I515" s="632"/>
      <c r="J515" s="633"/>
      <c r="K515" s="633"/>
      <c r="L515" s="634"/>
      <c r="M515" s="253"/>
      <c r="N515" s="632"/>
      <c r="O515" s="633"/>
      <c r="P515" s="633"/>
      <c r="Q515" s="634"/>
      <c r="R515" s="253"/>
      <c r="S515" s="632"/>
      <c r="T515" s="633"/>
      <c r="U515" s="633"/>
      <c r="V515" s="634"/>
      <c r="W515" s="253"/>
      <c r="X515" s="632"/>
      <c r="Y515" s="633"/>
      <c r="Z515" s="633"/>
      <c r="AA515" s="634"/>
      <c r="AB515" s="219"/>
    </row>
    <row r="516" spans="1:28" ht="14.25" x14ac:dyDescent="0.2">
      <c r="A516" s="219"/>
      <c r="B516" s="219"/>
      <c r="C516" s="219"/>
      <c r="D516" s="632"/>
      <c r="E516" s="633"/>
      <c r="F516" s="633"/>
      <c r="G516" s="634"/>
      <c r="H516" s="253"/>
      <c r="I516" s="632"/>
      <c r="J516" s="633"/>
      <c r="K516" s="633"/>
      <c r="L516" s="634"/>
      <c r="M516" s="253"/>
      <c r="N516" s="632"/>
      <c r="O516" s="633"/>
      <c r="P516" s="633"/>
      <c r="Q516" s="634"/>
      <c r="R516" s="253"/>
      <c r="S516" s="632"/>
      <c r="T516" s="633"/>
      <c r="U516" s="633"/>
      <c r="V516" s="634"/>
      <c r="W516" s="253"/>
      <c r="X516" s="632"/>
      <c r="Y516" s="633"/>
      <c r="Z516" s="633"/>
      <c r="AA516" s="634"/>
      <c r="AB516" s="219"/>
    </row>
    <row r="517" spans="1:28" ht="14.25" x14ac:dyDescent="0.2">
      <c r="A517" s="219"/>
      <c r="B517" s="219"/>
      <c r="C517" s="219"/>
      <c r="D517" s="596"/>
      <c r="E517" s="597"/>
      <c r="F517" s="597"/>
      <c r="G517" s="598"/>
      <c r="H517" s="253"/>
      <c r="I517" s="596"/>
      <c r="J517" s="597"/>
      <c r="K517" s="597"/>
      <c r="L517" s="598"/>
      <c r="M517" s="253"/>
      <c r="N517" s="596"/>
      <c r="O517" s="597"/>
      <c r="P517" s="597"/>
      <c r="Q517" s="598"/>
      <c r="R517" s="253"/>
      <c r="S517" s="596"/>
      <c r="T517" s="597"/>
      <c r="U517" s="597"/>
      <c r="V517" s="598"/>
      <c r="W517" s="253"/>
      <c r="X517" s="596"/>
      <c r="Y517" s="597"/>
      <c r="Z517" s="597"/>
      <c r="AA517" s="598"/>
      <c r="AB517" s="219"/>
    </row>
    <row r="518" spans="1:28" ht="15" x14ac:dyDescent="0.25">
      <c r="A518" s="219"/>
      <c r="B518" s="219"/>
      <c r="C518" s="219"/>
      <c r="D518" s="599" t="s">
        <v>211</v>
      </c>
      <c r="E518" s="600"/>
      <c r="F518" s="600"/>
      <c r="G518" s="601"/>
      <c r="H518" s="253"/>
      <c r="I518" s="599" t="s">
        <v>212</v>
      </c>
      <c r="J518" s="600"/>
      <c r="K518" s="600"/>
      <c r="L518" s="601"/>
      <c r="M518" s="253"/>
      <c r="N518" s="599" t="s">
        <v>213</v>
      </c>
      <c r="O518" s="600"/>
      <c r="P518" s="600"/>
      <c r="Q518" s="601"/>
      <c r="R518" s="253"/>
      <c r="S518" s="599" t="s">
        <v>447</v>
      </c>
      <c r="T518" s="600"/>
      <c r="U518" s="600"/>
      <c r="V518" s="601"/>
      <c r="W518" s="253"/>
      <c r="X518" s="599" t="s">
        <v>446</v>
      </c>
      <c r="Y518" s="600"/>
      <c r="Z518" s="600"/>
      <c r="AA518" s="601"/>
      <c r="AB518" s="219"/>
    </row>
    <row r="519" spans="1:28" s="169" customFormat="1" ht="27" customHeight="1" x14ac:dyDescent="0.2">
      <c r="A519" s="226"/>
      <c r="B519" s="226"/>
      <c r="C519" s="226"/>
      <c r="D519" s="602" t="s">
        <v>110</v>
      </c>
      <c r="E519" s="603"/>
      <c r="F519" s="604"/>
      <c r="G519" s="605"/>
      <c r="H519" s="266"/>
      <c r="I519" s="602" t="s">
        <v>682</v>
      </c>
      <c r="J519" s="603"/>
      <c r="K519" s="604"/>
      <c r="L519" s="605"/>
      <c r="M519" s="266"/>
      <c r="N519" s="602" t="s">
        <v>478</v>
      </c>
      <c r="O519" s="603"/>
      <c r="P519" s="604"/>
      <c r="Q519" s="605"/>
      <c r="R519" s="266"/>
      <c r="S519" s="602" t="s">
        <v>683</v>
      </c>
      <c r="T519" s="603"/>
      <c r="U519" s="604"/>
      <c r="V519" s="605"/>
      <c r="W519" s="266"/>
      <c r="X519" s="602" t="s">
        <v>479</v>
      </c>
      <c r="Y519" s="603"/>
      <c r="Z519" s="604"/>
      <c r="AA519" s="605"/>
      <c r="AB519" s="226"/>
    </row>
    <row r="520" spans="1:28" ht="16.149999999999999" customHeight="1" x14ac:dyDescent="0.25">
      <c r="A520" s="219"/>
      <c r="B520" s="219"/>
      <c r="C520" s="219"/>
      <c r="D520" s="814">
        <v>45</v>
      </c>
      <c r="E520" s="623"/>
      <c r="F520" s="815">
        <v>0</v>
      </c>
      <c r="G520" s="815"/>
      <c r="H520" s="253"/>
      <c r="I520" s="814">
        <v>30</v>
      </c>
      <c r="J520" s="623"/>
      <c r="K520" s="815">
        <v>0</v>
      </c>
      <c r="L520" s="815"/>
      <c r="M520" s="253"/>
      <c r="N520" s="814">
        <v>30</v>
      </c>
      <c r="O520" s="623"/>
      <c r="P520" s="815">
        <v>0</v>
      </c>
      <c r="Q520" s="815"/>
      <c r="R520" s="253"/>
      <c r="S520" s="814">
        <v>425</v>
      </c>
      <c r="T520" s="623"/>
      <c r="U520" s="815">
        <v>0</v>
      </c>
      <c r="V520" s="815"/>
      <c r="W520" s="289"/>
      <c r="X520" s="814">
        <v>40</v>
      </c>
      <c r="Y520" s="623"/>
      <c r="Z520" s="815">
        <v>0</v>
      </c>
      <c r="AA520" s="815"/>
      <c r="AB520" s="219"/>
    </row>
    <row r="521" spans="1:28" ht="14.25" x14ac:dyDescent="0.2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" customHeight="1" x14ac:dyDescent="0.2">
      <c r="A522" s="219"/>
      <c r="B522" s="219"/>
      <c r="C522" s="219"/>
      <c r="D522" s="617"/>
      <c r="E522" s="618"/>
      <c r="F522" s="618"/>
      <c r="G522" s="619"/>
      <c r="H522" s="253"/>
      <c r="I522" s="617"/>
      <c r="J522" s="618"/>
      <c r="K522" s="618"/>
      <c r="L522" s="619"/>
      <c r="M522" s="253"/>
      <c r="N522" s="617"/>
      <c r="O522" s="618"/>
      <c r="P522" s="618"/>
      <c r="Q522" s="619"/>
      <c r="R522" s="253"/>
      <c r="S522" s="617"/>
      <c r="T522" s="618"/>
      <c r="U522" s="618"/>
      <c r="V522" s="619"/>
      <c r="W522" s="253"/>
      <c r="X522" s="275"/>
      <c r="Y522" s="275"/>
      <c r="Z522" s="276"/>
      <c r="AA522" s="277"/>
      <c r="AB522" s="219"/>
    </row>
    <row r="523" spans="1:28" ht="14.25" x14ac:dyDescent="0.2">
      <c r="A523" s="219"/>
      <c r="B523" s="219"/>
      <c r="C523" s="219"/>
      <c r="D523" s="632"/>
      <c r="E523" s="633"/>
      <c r="F523" s="633"/>
      <c r="G523" s="634"/>
      <c r="H523" s="253"/>
      <c r="I523" s="632"/>
      <c r="J523" s="633"/>
      <c r="K523" s="633"/>
      <c r="L523" s="634"/>
      <c r="M523" s="253"/>
      <c r="N523" s="632"/>
      <c r="O523" s="633"/>
      <c r="P523" s="633"/>
      <c r="Q523" s="634"/>
      <c r="R523" s="253"/>
      <c r="S523" s="632"/>
      <c r="T523" s="633"/>
      <c r="U523" s="633"/>
      <c r="V523" s="634"/>
      <c r="W523" s="253"/>
      <c r="X523" s="275"/>
      <c r="Y523" s="275"/>
      <c r="Z523" s="276"/>
      <c r="AA523" s="277"/>
      <c r="AB523" s="219"/>
    </row>
    <row r="524" spans="1:28" ht="14.25" x14ac:dyDescent="0.2">
      <c r="A524" s="219"/>
      <c r="B524" s="219"/>
      <c r="C524" s="219"/>
      <c r="D524" s="272"/>
      <c r="E524" s="273"/>
      <c r="F524" s="273"/>
      <c r="G524" s="274"/>
      <c r="H524" s="253"/>
      <c r="I524" s="632"/>
      <c r="J524" s="633"/>
      <c r="K524" s="633"/>
      <c r="L524" s="634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4.25" x14ac:dyDescent="0.2">
      <c r="A525" s="219"/>
      <c r="B525" s="219"/>
      <c r="C525" s="219"/>
      <c r="D525" s="632"/>
      <c r="E525" s="633"/>
      <c r="F525" s="633"/>
      <c r="G525" s="634"/>
      <c r="H525" s="253"/>
      <c r="I525" s="632"/>
      <c r="J525" s="633"/>
      <c r="K525" s="633"/>
      <c r="L525" s="634"/>
      <c r="M525" s="253"/>
      <c r="N525" s="632"/>
      <c r="O525" s="633"/>
      <c r="P525" s="633"/>
      <c r="Q525" s="634"/>
      <c r="R525" s="253"/>
      <c r="S525" s="632"/>
      <c r="T525" s="633"/>
      <c r="U525" s="633"/>
      <c r="V525" s="634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32"/>
      <c r="E526" s="633"/>
      <c r="F526" s="633"/>
      <c r="G526" s="634"/>
      <c r="H526" s="253"/>
      <c r="I526" s="632"/>
      <c r="J526" s="633"/>
      <c r="K526" s="633"/>
      <c r="L526" s="634"/>
      <c r="M526" s="253"/>
      <c r="N526" s="632"/>
      <c r="O526" s="633"/>
      <c r="P526" s="633"/>
      <c r="Q526" s="634"/>
      <c r="R526" s="253"/>
      <c r="S526" s="632"/>
      <c r="T526" s="633"/>
      <c r="U526" s="633"/>
      <c r="V526" s="634"/>
      <c r="W526" s="253"/>
      <c r="X526" s="275"/>
      <c r="Y526" s="275"/>
      <c r="Z526" s="276"/>
      <c r="AA526" s="277"/>
      <c r="AB526" s="219"/>
    </row>
    <row r="527" spans="1:28" ht="14.25" x14ac:dyDescent="0.2">
      <c r="A527" s="219"/>
      <c r="B527" s="219"/>
      <c r="C527" s="219"/>
      <c r="D527" s="596"/>
      <c r="E527" s="597"/>
      <c r="F527" s="597"/>
      <c r="G527" s="598"/>
      <c r="H527" s="253"/>
      <c r="I527" s="596"/>
      <c r="J527" s="597"/>
      <c r="K527" s="597"/>
      <c r="L527" s="598"/>
      <c r="M527" s="253"/>
      <c r="N527" s="596"/>
      <c r="O527" s="597"/>
      <c r="P527" s="597"/>
      <c r="Q527" s="598"/>
      <c r="R527" s="253"/>
      <c r="S527" s="596"/>
      <c r="T527" s="597"/>
      <c r="U527" s="597"/>
      <c r="V527" s="598"/>
      <c r="W527" s="253"/>
      <c r="X527" s="275"/>
      <c r="Y527" s="275"/>
      <c r="Z527" s="276"/>
      <c r="AA527" s="277"/>
      <c r="AB527" s="219"/>
    </row>
    <row r="528" spans="1:28" ht="13.9" customHeight="1" x14ac:dyDescent="0.25">
      <c r="A528" s="219"/>
      <c r="B528" s="219"/>
      <c r="C528" s="219"/>
      <c r="D528" s="599" t="s">
        <v>210</v>
      </c>
      <c r="E528" s="600"/>
      <c r="F528" s="600"/>
      <c r="G528" s="601"/>
      <c r="H528" s="253"/>
      <c r="I528" s="757" t="s">
        <v>214</v>
      </c>
      <c r="J528" s="758"/>
      <c r="K528" s="758"/>
      <c r="L528" s="759"/>
      <c r="M528" s="253"/>
      <c r="N528" s="752" t="s">
        <v>209</v>
      </c>
      <c r="O528" s="648"/>
      <c r="P528" s="648"/>
      <c r="Q528" s="753"/>
      <c r="R528" s="253"/>
      <c r="S528" s="754" t="s">
        <v>415</v>
      </c>
      <c r="T528" s="754"/>
      <c r="U528" s="754"/>
      <c r="V528" s="754"/>
      <c r="W528" s="253"/>
      <c r="X528" s="275"/>
      <c r="Y528" s="275"/>
      <c r="Z528" s="276"/>
      <c r="AA528" s="277"/>
      <c r="AB528" s="219"/>
    </row>
    <row r="529" spans="1:28" ht="27" customHeight="1" x14ac:dyDescent="0.2">
      <c r="A529" s="219"/>
      <c r="B529" s="219"/>
      <c r="C529" s="219"/>
      <c r="D529" s="602" t="s">
        <v>685</v>
      </c>
      <c r="E529" s="603"/>
      <c r="F529" s="604"/>
      <c r="G529" s="605"/>
      <c r="H529" s="266"/>
      <c r="I529" s="602" t="s">
        <v>684</v>
      </c>
      <c r="J529" s="603"/>
      <c r="K529" s="604"/>
      <c r="L529" s="605"/>
      <c r="M529" s="253"/>
      <c r="N529" s="602" t="s">
        <v>680</v>
      </c>
      <c r="O529" s="603"/>
      <c r="P529" s="604"/>
      <c r="Q529" s="605"/>
      <c r="R529" s="266"/>
      <c r="S529" s="856" t="s">
        <v>681</v>
      </c>
      <c r="T529" s="857"/>
      <c r="U529" s="858"/>
      <c r="V529" s="859"/>
      <c r="W529" s="253"/>
      <c r="X529" s="275"/>
      <c r="Y529" s="275"/>
      <c r="Z529" s="276"/>
      <c r="AA529" s="277"/>
      <c r="AB529" s="219"/>
    </row>
    <row r="530" spans="1:28" ht="16.149999999999999" customHeight="1" x14ac:dyDescent="0.25">
      <c r="A530" s="219"/>
      <c r="B530" s="219"/>
      <c r="C530" s="219"/>
      <c r="D530" s="814">
        <v>55</v>
      </c>
      <c r="E530" s="623"/>
      <c r="F530" s="815">
        <v>0</v>
      </c>
      <c r="G530" s="815"/>
      <c r="H530" s="253"/>
      <c r="I530" s="814">
        <v>15</v>
      </c>
      <c r="J530" s="623"/>
      <c r="K530" s="815">
        <v>0</v>
      </c>
      <c r="L530" s="815"/>
      <c r="M530" s="253"/>
      <c r="N530" s="860">
        <v>9</v>
      </c>
      <c r="O530" s="861"/>
      <c r="P530" s="862">
        <v>0</v>
      </c>
      <c r="Q530" s="863"/>
      <c r="R530" s="253"/>
      <c r="S530" s="814">
        <v>34</v>
      </c>
      <c r="T530" s="623"/>
      <c r="U530" s="815">
        <v>0</v>
      </c>
      <c r="V530" s="815"/>
      <c r="W530" s="253"/>
      <c r="X530" s="275"/>
      <c r="Y530" s="275"/>
      <c r="Z530" s="276"/>
      <c r="AA530" s="277"/>
      <c r="AB530" s="219"/>
    </row>
    <row r="531" spans="1:28" ht="27" customHeight="1" x14ac:dyDescent="0.2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">
      <c r="A532" s="219"/>
      <c r="B532" s="219"/>
      <c r="C532" s="219"/>
      <c r="D532" s="772" t="s">
        <v>514</v>
      </c>
      <c r="E532" s="772"/>
      <c r="F532" s="772"/>
      <c r="G532" s="772"/>
      <c r="H532" s="772"/>
      <c r="I532" s="772"/>
      <c r="J532" s="772"/>
      <c r="K532" s="772"/>
      <c r="L532" s="772"/>
      <c r="M532" s="772"/>
      <c r="N532" s="772"/>
      <c r="O532" s="772"/>
      <c r="P532" s="772"/>
      <c r="Q532" s="772"/>
      <c r="R532" s="772"/>
      <c r="S532" s="772"/>
      <c r="T532" s="772"/>
      <c r="U532" s="772"/>
      <c r="V532" s="772"/>
      <c r="W532" s="772"/>
      <c r="X532" s="772"/>
      <c r="Y532" s="772"/>
      <c r="Z532" s="772"/>
      <c r="AA532" s="772"/>
      <c r="AB532" s="219"/>
    </row>
    <row r="533" spans="1:28" ht="27" customHeight="1" x14ac:dyDescent="0.2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" customHeight="1" x14ac:dyDescent="0.2">
      <c r="A534" s="219"/>
      <c r="B534" s="219"/>
      <c r="C534" s="219"/>
      <c r="D534" s="617"/>
      <c r="E534" s="618"/>
      <c r="F534" s="618"/>
      <c r="G534" s="619"/>
      <c r="H534" s="253"/>
      <c r="I534" s="682"/>
      <c r="J534" s="683"/>
      <c r="K534" s="683"/>
      <c r="L534" s="684"/>
      <c r="M534" s="253"/>
      <c r="N534" s="617"/>
      <c r="O534" s="618"/>
      <c r="P534" s="618"/>
      <c r="Q534" s="619"/>
      <c r="R534" s="253"/>
      <c r="S534" s="617"/>
      <c r="T534" s="618"/>
      <c r="U534" s="618"/>
      <c r="V534" s="619"/>
      <c r="W534" s="253"/>
      <c r="X534" s="617"/>
      <c r="Y534" s="618"/>
      <c r="Z534" s="618"/>
      <c r="AA534" s="619"/>
      <c r="AB534" s="219"/>
    </row>
    <row r="535" spans="1:28" ht="13.9" customHeight="1" x14ac:dyDescent="0.2">
      <c r="A535" s="219"/>
      <c r="B535" s="219"/>
      <c r="C535" s="219"/>
      <c r="D535" s="632"/>
      <c r="E535" s="633"/>
      <c r="F535" s="633"/>
      <c r="G535" s="634"/>
      <c r="H535" s="253"/>
      <c r="I535" s="685"/>
      <c r="J535" s="686"/>
      <c r="K535" s="686"/>
      <c r="L535" s="687"/>
      <c r="M535" s="253"/>
      <c r="N535" s="632"/>
      <c r="O535" s="633"/>
      <c r="P535" s="633"/>
      <c r="Q535" s="634"/>
      <c r="R535" s="253"/>
      <c r="S535" s="632"/>
      <c r="T535" s="633"/>
      <c r="U535" s="633"/>
      <c r="V535" s="634"/>
      <c r="W535" s="253"/>
      <c r="X535" s="632"/>
      <c r="Y535" s="633"/>
      <c r="Z535" s="633"/>
      <c r="AA535" s="634"/>
      <c r="AB535" s="219"/>
    </row>
    <row r="536" spans="1:28" ht="13.9" customHeight="1" x14ac:dyDescent="0.2">
      <c r="A536" s="219"/>
      <c r="B536" s="219"/>
      <c r="C536" s="219"/>
      <c r="D536" s="632"/>
      <c r="E536" s="633"/>
      <c r="F536" s="633"/>
      <c r="G536" s="634"/>
      <c r="H536" s="253"/>
      <c r="I536" s="685"/>
      <c r="J536" s="686"/>
      <c r="K536" s="686"/>
      <c r="L536" s="687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" customHeight="1" x14ac:dyDescent="0.2">
      <c r="A537" s="219"/>
      <c r="B537" s="219"/>
      <c r="C537" s="219"/>
      <c r="D537" s="632"/>
      <c r="E537" s="633"/>
      <c r="F537" s="633"/>
      <c r="G537" s="634"/>
      <c r="H537" s="253"/>
      <c r="I537" s="685"/>
      <c r="J537" s="686"/>
      <c r="K537" s="686"/>
      <c r="L537" s="687"/>
      <c r="M537" s="253"/>
      <c r="N537" s="632"/>
      <c r="O537" s="633"/>
      <c r="P537" s="633"/>
      <c r="Q537" s="634"/>
      <c r="R537" s="253"/>
      <c r="S537" s="632"/>
      <c r="T537" s="633"/>
      <c r="U537" s="633"/>
      <c r="V537" s="634"/>
      <c r="W537" s="253"/>
      <c r="X537" s="632"/>
      <c r="Y537" s="633"/>
      <c r="Z537" s="633"/>
      <c r="AA537" s="634"/>
      <c r="AB537" s="219"/>
    </row>
    <row r="538" spans="1:28" ht="13.9" customHeight="1" x14ac:dyDescent="0.2">
      <c r="A538" s="219"/>
      <c r="B538" s="219"/>
      <c r="C538" s="219"/>
      <c r="D538" s="632"/>
      <c r="E538" s="633"/>
      <c r="F538" s="633"/>
      <c r="G538" s="634"/>
      <c r="H538" s="253"/>
      <c r="I538" s="685"/>
      <c r="J538" s="686"/>
      <c r="K538" s="686"/>
      <c r="L538" s="687"/>
      <c r="M538" s="253"/>
      <c r="N538" s="632"/>
      <c r="O538" s="633"/>
      <c r="P538" s="633"/>
      <c r="Q538" s="634"/>
      <c r="R538" s="253"/>
      <c r="S538" s="632"/>
      <c r="T538" s="633"/>
      <c r="U538" s="633"/>
      <c r="V538" s="634"/>
      <c r="W538" s="253"/>
      <c r="X538" s="632"/>
      <c r="Y538" s="633"/>
      <c r="Z538" s="633"/>
      <c r="AA538" s="634"/>
      <c r="AB538" s="219"/>
    </row>
    <row r="539" spans="1:28" ht="13.9" customHeight="1" x14ac:dyDescent="0.2">
      <c r="A539" s="219"/>
      <c r="B539" s="219"/>
      <c r="C539" s="219"/>
      <c r="D539" s="596"/>
      <c r="E539" s="597"/>
      <c r="F539" s="597"/>
      <c r="G539" s="598"/>
      <c r="H539" s="253"/>
      <c r="I539" s="688"/>
      <c r="J539" s="689"/>
      <c r="K539" s="689"/>
      <c r="L539" s="690"/>
      <c r="M539" s="253"/>
      <c r="N539" s="596"/>
      <c r="O539" s="597"/>
      <c r="P539" s="597"/>
      <c r="Q539" s="598"/>
      <c r="R539" s="253"/>
      <c r="S539" s="596"/>
      <c r="T539" s="597"/>
      <c r="U539" s="597"/>
      <c r="V539" s="598"/>
      <c r="W539" s="253"/>
      <c r="X539" s="596"/>
      <c r="Y539" s="597"/>
      <c r="Z539" s="597"/>
      <c r="AA539" s="598"/>
      <c r="AB539" s="219"/>
    </row>
    <row r="540" spans="1:28" ht="13.9" customHeight="1" x14ac:dyDescent="0.25">
      <c r="A540" s="219"/>
      <c r="B540" s="219"/>
      <c r="C540" s="219"/>
      <c r="D540" s="599" t="s">
        <v>515</v>
      </c>
      <c r="E540" s="600"/>
      <c r="F540" s="600"/>
      <c r="G540" s="601"/>
      <c r="H540" s="253"/>
      <c r="I540" s="599" t="s">
        <v>516</v>
      </c>
      <c r="J540" s="600"/>
      <c r="K540" s="600"/>
      <c r="L540" s="601"/>
      <c r="M540" s="253"/>
      <c r="N540" s="599" t="s">
        <v>517</v>
      </c>
      <c r="O540" s="600"/>
      <c r="P540" s="600"/>
      <c r="Q540" s="601"/>
      <c r="R540" s="253"/>
      <c r="S540" s="599" t="s">
        <v>518</v>
      </c>
      <c r="T540" s="600"/>
      <c r="U540" s="600"/>
      <c r="V540" s="601"/>
      <c r="W540" s="253"/>
      <c r="X540" s="599" t="s">
        <v>519</v>
      </c>
      <c r="Y540" s="600"/>
      <c r="Z540" s="600"/>
      <c r="AA540" s="601"/>
      <c r="AB540" s="219"/>
    </row>
    <row r="541" spans="1:28" ht="27" customHeight="1" x14ac:dyDescent="0.2">
      <c r="A541" s="219"/>
      <c r="B541" s="219"/>
      <c r="C541" s="219"/>
      <c r="D541" s="602" t="s">
        <v>686</v>
      </c>
      <c r="E541" s="603"/>
      <c r="F541" s="604"/>
      <c r="G541" s="605"/>
      <c r="H541" s="266"/>
      <c r="I541" s="602" t="s">
        <v>687</v>
      </c>
      <c r="J541" s="603"/>
      <c r="K541" s="604"/>
      <c r="L541" s="605"/>
      <c r="M541" s="266"/>
      <c r="N541" s="602" t="s">
        <v>522</v>
      </c>
      <c r="O541" s="603"/>
      <c r="P541" s="604"/>
      <c r="Q541" s="605"/>
      <c r="R541" s="266"/>
      <c r="S541" s="602" t="s">
        <v>520</v>
      </c>
      <c r="T541" s="603"/>
      <c r="U541" s="604"/>
      <c r="V541" s="605"/>
      <c r="W541" s="266"/>
      <c r="X541" s="602" t="s">
        <v>521</v>
      </c>
      <c r="Y541" s="603"/>
      <c r="Z541" s="604"/>
      <c r="AA541" s="605"/>
      <c r="AB541" s="219"/>
    </row>
    <row r="542" spans="1:28" ht="16.149999999999999" customHeight="1" x14ac:dyDescent="0.25">
      <c r="A542" s="219"/>
      <c r="B542" s="219"/>
      <c r="C542" s="219"/>
      <c r="D542" s="613">
        <v>28</v>
      </c>
      <c r="E542" s="614"/>
      <c r="F542" s="624">
        <v>0</v>
      </c>
      <c r="G542" s="625"/>
      <c r="H542" s="253"/>
      <c r="I542" s="613">
        <v>32</v>
      </c>
      <c r="J542" s="614"/>
      <c r="K542" s="624">
        <v>0</v>
      </c>
      <c r="L542" s="625"/>
      <c r="M542" s="253"/>
      <c r="N542" s="613">
        <v>6.75</v>
      </c>
      <c r="O542" s="614"/>
      <c r="P542" s="624">
        <v>0</v>
      </c>
      <c r="Q542" s="625"/>
      <c r="R542" s="253"/>
      <c r="S542" s="613">
        <v>4.75</v>
      </c>
      <c r="T542" s="614"/>
      <c r="U542" s="624"/>
      <c r="V542" s="625"/>
      <c r="W542" s="253"/>
      <c r="X542" s="613">
        <v>12</v>
      </c>
      <c r="Y542" s="614"/>
      <c r="Z542" s="624">
        <v>0</v>
      </c>
      <c r="AA542" s="625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" customHeight="1" x14ac:dyDescent="0.2">
      <c r="A544" s="219"/>
      <c r="B544" s="219"/>
      <c r="C544" s="219"/>
      <c r="D544" s="617"/>
      <c r="E544" s="618"/>
      <c r="F544" s="618"/>
      <c r="G544" s="619"/>
      <c r="H544" s="253"/>
      <c r="I544" s="682"/>
      <c r="J544" s="683"/>
      <c r="K544" s="683"/>
      <c r="L544" s="684"/>
      <c r="M544" s="253"/>
      <c r="N544" s="617"/>
      <c r="O544" s="618"/>
      <c r="P544" s="618"/>
      <c r="Q544" s="619"/>
      <c r="R544" s="253"/>
      <c r="S544" s="700"/>
      <c r="T544" s="701"/>
      <c r="U544" s="701"/>
      <c r="V544" s="702"/>
      <c r="W544" s="253"/>
      <c r="X544" s="617"/>
      <c r="Y544" s="618"/>
      <c r="Z544" s="618"/>
      <c r="AA544" s="619"/>
      <c r="AB544" s="219"/>
    </row>
    <row r="545" spans="1:28" ht="13.9" customHeight="1" x14ac:dyDescent="0.2">
      <c r="A545" s="219"/>
      <c r="B545" s="219"/>
      <c r="C545" s="219"/>
      <c r="D545" s="632"/>
      <c r="E545" s="633"/>
      <c r="F545" s="633"/>
      <c r="G545" s="634"/>
      <c r="H545" s="253"/>
      <c r="I545" s="685"/>
      <c r="J545" s="686"/>
      <c r="K545" s="686"/>
      <c r="L545" s="687"/>
      <c r="M545" s="253"/>
      <c r="N545" s="632"/>
      <c r="O545" s="633"/>
      <c r="P545" s="633"/>
      <c r="Q545" s="634"/>
      <c r="R545" s="253"/>
      <c r="S545" s="667"/>
      <c r="T545" s="668"/>
      <c r="U545" s="668"/>
      <c r="V545" s="669"/>
      <c r="W545" s="253"/>
      <c r="X545" s="632"/>
      <c r="Y545" s="633"/>
      <c r="Z545" s="633"/>
      <c r="AA545" s="634"/>
      <c r="AB545" s="219"/>
    </row>
    <row r="546" spans="1:28" ht="13.9" customHeight="1" x14ac:dyDescent="0.2">
      <c r="A546" s="219"/>
      <c r="B546" s="219"/>
      <c r="C546" s="219"/>
      <c r="D546" s="632"/>
      <c r="E546" s="633"/>
      <c r="F546" s="633"/>
      <c r="G546" s="634"/>
      <c r="H546" s="253"/>
      <c r="I546" s="685"/>
      <c r="J546" s="686"/>
      <c r="K546" s="686"/>
      <c r="L546" s="687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" customHeight="1" x14ac:dyDescent="0.2">
      <c r="A547" s="219"/>
      <c r="B547" s="219"/>
      <c r="C547" s="219"/>
      <c r="D547" s="632"/>
      <c r="E547" s="633"/>
      <c r="F547" s="633"/>
      <c r="G547" s="634"/>
      <c r="H547" s="253"/>
      <c r="I547" s="685"/>
      <c r="J547" s="686"/>
      <c r="K547" s="686"/>
      <c r="L547" s="687"/>
      <c r="M547" s="253"/>
      <c r="N547" s="632"/>
      <c r="O547" s="633"/>
      <c r="P547" s="633"/>
      <c r="Q547" s="634"/>
      <c r="R547" s="253"/>
      <c r="S547" s="667"/>
      <c r="T547" s="668"/>
      <c r="U547" s="668"/>
      <c r="V547" s="669"/>
      <c r="W547" s="253"/>
      <c r="X547" s="632"/>
      <c r="Y547" s="633"/>
      <c r="Z547" s="633"/>
      <c r="AA547" s="634"/>
      <c r="AB547" s="219"/>
    </row>
    <row r="548" spans="1:28" ht="13.9" customHeight="1" x14ac:dyDescent="0.2">
      <c r="A548" s="219"/>
      <c r="B548" s="219"/>
      <c r="C548" s="219"/>
      <c r="D548" s="632"/>
      <c r="E548" s="633"/>
      <c r="F548" s="633"/>
      <c r="G548" s="634"/>
      <c r="H548" s="253"/>
      <c r="I548" s="685"/>
      <c r="J548" s="686"/>
      <c r="K548" s="686"/>
      <c r="L548" s="687"/>
      <c r="M548" s="253"/>
      <c r="N548" s="632"/>
      <c r="O548" s="633"/>
      <c r="P548" s="633"/>
      <c r="Q548" s="634"/>
      <c r="R548" s="253"/>
      <c r="S548" s="667"/>
      <c r="T548" s="668"/>
      <c r="U548" s="668"/>
      <c r="V548" s="669"/>
      <c r="W548" s="253"/>
      <c r="X548" s="632"/>
      <c r="Y548" s="633"/>
      <c r="Z548" s="633"/>
      <c r="AA548" s="634"/>
      <c r="AB548" s="219"/>
    </row>
    <row r="549" spans="1:28" ht="13.9" customHeight="1" x14ac:dyDescent="0.2">
      <c r="A549" s="219"/>
      <c r="B549" s="219"/>
      <c r="C549" s="219"/>
      <c r="D549" s="596"/>
      <c r="E549" s="597"/>
      <c r="F549" s="597"/>
      <c r="G549" s="598"/>
      <c r="H549" s="253"/>
      <c r="I549" s="688"/>
      <c r="J549" s="689"/>
      <c r="K549" s="689"/>
      <c r="L549" s="690"/>
      <c r="M549" s="253"/>
      <c r="N549" s="596"/>
      <c r="O549" s="597"/>
      <c r="P549" s="597"/>
      <c r="Q549" s="598"/>
      <c r="R549" s="253"/>
      <c r="S549" s="703"/>
      <c r="T549" s="704"/>
      <c r="U549" s="704"/>
      <c r="V549" s="705"/>
      <c r="W549" s="253"/>
      <c r="X549" s="596"/>
      <c r="Y549" s="597"/>
      <c r="Z549" s="597"/>
      <c r="AA549" s="598"/>
      <c r="AB549" s="219"/>
    </row>
    <row r="550" spans="1:28" ht="13.9" customHeight="1" x14ac:dyDescent="0.25">
      <c r="A550" s="219"/>
      <c r="B550" s="219"/>
      <c r="C550" s="219"/>
      <c r="D550" s="599" t="s">
        <v>531</v>
      </c>
      <c r="E550" s="600"/>
      <c r="F550" s="600"/>
      <c r="G550" s="601"/>
      <c r="H550" s="253"/>
      <c r="I550" s="599" t="s">
        <v>590</v>
      </c>
      <c r="J550" s="600"/>
      <c r="K550" s="600"/>
      <c r="L550" s="601"/>
      <c r="M550" s="253"/>
      <c r="N550" s="599" t="s">
        <v>532</v>
      </c>
      <c r="O550" s="600"/>
      <c r="P550" s="600"/>
      <c r="Q550" s="601"/>
      <c r="R550" s="253"/>
      <c r="S550" s="691" t="s">
        <v>978</v>
      </c>
      <c r="T550" s="692"/>
      <c r="U550" s="692"/>
      <c r="V550" s="693"/>
      <c r="W550" s="253"/>
      <c r="X550" s="599" t="s">
        <v>195</v>
      </c>
      <c r="Y550" s="600"/>
      <c r="Z550" s="600"/>
      <c r="AA550" s="601"/>
      <c r="AB550" s="219"/>
    </row>
    <row r="551" spans="1:28" ht="27" customHeight="1" x14ac:dyDescent="0.2">
      <c r="A551" s="219"/>
      <c r="B551" s="219"/>
      <c r="C551" s="219"/>
      <c r="D551" s="602" t="s">
        <v>878</v>
      </c>
      <c r="E551" s="603"/>
      <c r="F551" s="604"/>
      <c r="G551" s="605"/>
      <c r="H551" s="266"/>
      <c r="I551" s="602" t="s">
        <v>879</v>
      </c>
      <c r="J551" s="603"/>
      <c r="K551" s="604"/>
      <c r="L551" s="605"/>
      <c r="M551" s="266"/>
      <c r="N551" s="602" t="s">
        <v>890</v>
      </c>
      <c r="O551" s="603"/>
      <c r="P551" s="604"/>
      <c r="Q551" s="605"/>
      <c r="R551" s="266"/>
      <c r="S551" s="694"/>
      <c r="T551" s="695"/>
      <c r="U551" s="696"/>
      <c r="V551" s="697"/>
      <c r="W551" s="266"/>
      <c r="X551" s="602" t="s">
        <v>652</v>
      </c>
      <c r="Y551" s="603"/>
      <c r="Z551" s="604"/>
      <c r="AA551" s="605"/>
      <c r="AB551" s="219"/>
    </row>
    <row r="552" spans="1:28" ht="16.149999999999999" customHeight="1" x14ac:dyDescent="0.25">
      <c r="A552" s="219"/>
      <c r="B552" s="219"/>
      <c r="C552" s="219"/>
      <c r="D552" s="613">
        <v>155</v>
      </c>
      <c r="E552" s="614"/>
      <c r="F552" s="624">
        <v>0</v>
      </c>
      <c r="G552" s="625"/>
      <c r="H552" s="253"/>
      <c r="I552" s="613">
        <v>80</v>
      </c>
      <c r="J552" s="614"/>
      <c r="K552" s="624">
        <v>0</v>
      </c>
      <c r="L552" s="625"/>
      <c r="M552" s="253"/>
      <c r="N552" s="613">
        <v>90</v>
      </c>
      <c r="O552" s="614"/>
      <c r="P552" s="624">
        <v>0</v>
      </c>
      <c r="Q552" s="625"/>
      <c r="R552" s="253"/>
      <c r="S552" s="698">
        <v>85</v>
      </c>
      <c r="T552" s="699"/>
      <c r="U552" s="624">
        <v>0</v>
      </c>
      <c r="V552" s="625"/>
      <c r="W552" s="253"/>
      <c r="X552" s="623">
        <v>105</v>
      </c>
      <c r="Y552" s="608"/>
      <c r="Z552" s="624">
        <v>0</v>
      </c>
      <c r="AA552" s="625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" customHeight="1" x14ac:dyDescent="0.2">
      <c r="A554" s="219"/>
      <c r="B554" s="219"/>
      <c r="C554" s="219"/>
      <c r="D554" s="617"/>
      <c r="E554" s="618"/>
      <c r="F554" s="618"/>
      <c r="G554" s="619"/>
      <c r="H554" s="253"/>
      <c r="I554" s="682"/>
      <c r="J554" s="683"/>
      <c r="K554" s="683"/>
      <c r="L554" s="684"/>
      <c r="M554" s="253"/>
      <c r="N554" s="682"/>
      <c r="O554" s="683"/>
      <c r="P554" s="683"/>
      <c r="Q554" s="684"/>
      <c r="R554" s="253"/>
      <c r="S554" s="617"/>
      <c r="T554" s="618"/>
      <c r="U554" s="618"/>
      <c r="V554" s="619"/>
      <c r="W554" s="253"/>
      <c r="X554" s="617"/>
      <c r="Y554" s="618"/>
      <c r="Z554" s="618"/>
      <c r="AA554" s="619"/>
      <c r="AB554" s="219"/>
    </row>
    <row r="555" spans="1:28" ht="13.9" customHeight="1" x14ac:dyDescent="0.2">
      <c r="A555" s="219"/>
      <c r="B555" s="219"/>
      <c r="C555" s="219"/>
      <c r="D555" s="632"/>
      <c r="E555" s="633"/>
      <c r="F555" s="633"/>
      <c r="G555" s="634"/>
      <c r="H555" s="253"/>
      <c r="I555" s="685"/>
      <c r="J555" s="686"/>
      <c r="K555" s="686"/>
      <c r="L555" s="687"/>
      <c r="M555" s="253"/>
      <c r="N555" s="685"/>
      <c r="O555" s="686"/>
      <c r="P555" s="686"/>
      <c r="Q555" s="687"/>
      <c r="R555" s="253"/>
      <c r="S555" s="632"/>
      <c r="T555" s="633"/>
      <c r="U555" s="633"/>
      <c r="V555" s="634"/>
      <c r="W555" s="253"/>
      <c r="X555" s="632"/>
      <c r="Y555" s="633"/>
      <c r="Z555" s="633"/>
      <c r="AA555" s="634"/>
      <c r="AB555" s="219"/>
    </row>
    <row r="556" spans="1:28" ht="13.9" customHeight="1" x14ac:dyDescent="0.2">
      <c r="A556" s="219"/>
      <c r="B556" s="219"/>
      <c r="C556" s="219"/>
      <c r="D556" s="632"/>
      <c r="E556" s="633"/>
      <c r="F556" s="633"/>
      <c r="G556" s="634"/>
      <c r="H556" s="253"/>
      <c r="I556" s="685"/>
      <c r="J556" s="686"/>
      <c r="K556" s="686"/>
      <c r="L556" s="687"/>
      <c r="M556" s="253"/>
      <c r="N556" s="685"/>
      <c r="O556" s="686"/>
      <c r="P556" s="686"/>
      <c r="Q556" s="687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" customHeight="1" x14ac:dyDescent="0.2">
      <c r="A557" s="219"/>
      <c r="B557" s="219"/>
      <c r="C557" s="219"/>
      <c r="D557" s="632"/>
      <c r="E557" s="633"/>
      <c r="F557" s="633"/>
      <c r="G557" s="634"/>
      <c r="H557" s="253"/>
      <c r="I557" s="685"/>
      <c r="J557" s="686"/>
      <c r="K557" s="686"/>
      <c r="L557" s="687"/>
      <c r="M557" s="253"/>
      <c r="N557" s="685"/>
      <c r="O557" s="686"/>
      <c r="P557" s="686"/>
      <c r="Q557" s="687"/>
      <c r="R557" s="253"/>
      <c r="S557" s="632"/>
      <c r="T557" s="633"/>
      <c r="U557" s="633"/>
      <c r="V557" s="634"/>
      <c r="W557" s="253"/>
      <c r="X557" s="632"/>
      <c r="Y557" s="633"/>
      <c r="Z557" s="633"/>
      <c r="AA557" s="634"/>
      <c r="AB557" s="219"/>
    </row>
    <row r="558" spans="1:28" ht="13.9" customHeight="1" x14ac:dyDescent="0.2">
      <c r="A558" s="219"/>
      <c r="B558" s="219"/>
      <c r="C558" s="219"/>
      <c r="D558" s="632"/>
      <c r="E558" s="633"/>
      <c r="F558" s="633"/>
      <c r="G558" s="634"/>
      <c r="H558" s="253"/>
      <c r="I558" s="685"/>
      <c r="J558" s="686"/>
      <c r="K558" s="686"/>
      <c r="L558" s="687"/>
      <c r="M558" s="253"/>
      <c r="N558" s="685"/>
      <c r="O558" s="686"/>
      <c r="P558" s="686"/>
      <c r="Q558" s="687"/>
      <c r="R558" s="253"/>
      <c r="S558" s="632"/>
      <c r="T558" s="633"/>
      <c r="U558" s="633"/>
      <c r="V558" s="634"/>
      <c r="W558" s="253"/>
      <c r="X558" s="632"/>
      <c r="Y558" s="633"/>
      <c r="Z558" s="633"/>
      <c r="AA558" s="634"/>
      <c r="AB558" s="219"/>
    </row>
    <row r="559" spans="1:28" ht="13.9" customHeight="1" x14ac:dyDescent="0.2">
      <c r="A559" s="219"/>
      <c r="B559" s="219"/>
      <c r="C559" s="219"/>
      <c r="D559" s="596"/>
      <c r="E559" s="597"/>
      <c r="F559" s="597"/>
      <c r="G559" s="598"/>
      <c r="H559" s="253"/>
      <c r="I559" s="688"/>
      <c r="J559" s="689"/>
      <c r="K559" s="689"/>
      <c r="L559" s="690"/>
      <c r="M559" s="253"/>
      <c r="N559" s="688"/>
      <c r="O559" s="689"/>
      <c r="P559" s="689"/>
      <c r="Q559" s="690"/>
      <c r="R559" s="253"/>
      <c r="S559" s="596"/>
      <c r="T559" s="597"/>
      <c r="U559" s="597"/>
      <c r="V559" s="598"/>
      <c r="W559" s="253"/>
      <c r="X559" s="596"/>
      <c r="Y559" s="597"/>
      <c r="Z559" s="597"/>
      <c r="AA559" s="598"/>
      <c r="AB559" s="219"/>
    </row>
    <row r="560" spans="1:28" ht="13.9" customHeight="1" x14ac:dyDescent="0.25">
      <c r="A560" s="219"/>
      <c r="B560" s="219"/>
      <c r="C560" s="219"/>
      <c r="D560" s="599" t="s">
        <v>551</v>
      </c>
      <c r="E560" s="600"/>
      <c r="F560" s="600"/>
      <c r="G560" s="601"/>
      <c r="H560" s="253"/>
      <c r="I560" s="599" t="s">
        <v>552</v>
      </c>
      <c r="J560" s="600"/>
      <c r="K560" s="600"/>
      <c r="L560" s="601"/>
      <c r="M560" s="253"/>
      <c r="N560" s="599" t="s">
        <v>533</v>
      </c>
      <c r="O560" s="600"/>
      <c r="P560" s="600"/>
      <c r="Q560" s="601"/>
      <c r="R560" s="253"/>
      <c r="S560" s="599" t="s">
        <v>534</v>
      </c>
      <c r="T560" s="600"/>
      <c r="U560" s="600"/>
      <c r="V560" s="601"/>
      <c r="W560" s="253"/>
      <c r="X560" s="599" t="s">
        <v>535</v>
      </c>
      <c r="Y560" s="600"/>
      <c r="Z560" s="600"/>
      <c r="AA560" s="601"/>
      <c r="AB560" s="219"/>
    </row>
    <row r="561" spans="1:28" ht="27" customHeight="1" x14ac:dyDescent="0.2">
      <c r="A561" s="219"/>
      <c r="B561" s="219"/>
      <c r="C561" s="219"/>
      <c r="D561" s="602" t="s">
        <v>688</v>
      </c>
      <c r="E561" s="603"/>
      <c r="F561" s="604"/>
      <c r="G561" s="605"/>
      <c r="H561" s="266"/>
      <c r="I561" s="602" t="s">
        <v>553</v>
      </c>
      <c r="J561" s="603"/>
      <c r="K561" s="604"/>
      <c r="L561" s="605"/>
      <c r="M561" s="266"/>
      <c r="N561" s="602" t="s">
        <v>538</v>
      </c>
      <c r="O561" s="603"/>
      <c r="P561" s="604"/>
      <c r="Q561" s="605"/>
      <c r="R561" s="266"/>
      <c r="S561" s="602" t="s">
        <v>539</v>
      </c>
      <c r="T561" s="603"/>
      <c r="U561" s="604"/>
      <c r="V561" s="605"/>
      <c r="W561" s="266"/>
      <c r="X561" s="602" t="s">
        <v>540</v>
      </c>
      <c r="Y561" s="603"/>
      <c r="Z561" s="604"/>
      <c r="AA561" s="605"/>
      <c r="AB561" s="219"/>
    </row>
    <row r="562" spans="1:28" ht="16.149999999999999" customHeight="1" x14ac:dyDescent="0.25">
      <c r="A562" s="219"/>
      <c r="B562" s="219"/>
      <c r="C562" s="219"/>
      <c r="D562" s="613">
        <v>80</v>
      </c>
      <c r="E562" s="614"/>
      <c r="F562" s="624">
        <v>0</v>
      </c>
      <c r="G562" s="625"/>
      <c r="H562" s="253"/>
      <c r="I562" s="613">
        <v>120</v>
      </c>
      <c r="J562" s="614"/>
      <c r="K562" s="624">
        <v>0</v>
      </c>
      <c r="L562" s="625"/>
      <c r="M562" s="253"/>
      <c r="N562" s="613">
        <v>120</v>
      </c>
      <c r="O562" s="614"/>
      <c r="P562" s="624">
        <v>0</v>
      </c>
      <c r="Q562" s="625"/>
      <c r="R562" s="253"/>
      <c r="S562" s="613">
        <v>305</v>
      </c>
      <c r="T562" s="614"/>
      <c r="U562" s="624">
        <v>0</v>
      </c>
      <c r="V562" s="625"/>
      <c r="W562" s="253" t="s">
        <v>880</v>
      </c>
      <c r="X562" s="613">
        <v>400</v>
      </c>
      <c r="Y562" s="614"/>
      <c r="Z562" s="624">
        <v>0</v>
      </c>
      <c r="AA562" s="625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3">
      <c r="B565" s="354"/>
      <c r="C565" s="867"/>
      <c r="D565" s="868"/>
      <c r="E565" s="867"/>
      <c r="F565" s="867"/>
      <c r="G565" s="867"/>
      <c r="H565" s="867"/>
      <c r="I565" s="867"/>
      <c r="J565" s="867"/>
      <c r="K565" s="867"/>
      <c r="L565" s="867"/>
      <c r="M565" s="867"/>
      <c r="N565" s="867"/>
      <c r="O565" s="867"/>
      <c r="P565" s="867"/>
      <c r="Q565" s="867"/>
      <c r="R565" s="867"/>
      <c r="S565" s="867"/>
      <c r="T565" s="867"/>
      <c r="U565" s="867"/>
      <c r="V565" s="867"/>
      <c r="W565" s="867"/>
      <c r="X565" s="867"/>
      <c r="Y565" s="867"/>
      <c r="Z565" s="867"/>
      <c r="AA565" s="867"/>
      <c r="AB565" s="354"/>
    </row>
    <row r="566" spans="1:28" s="179" customFormat="1" ht="15" x14ac:dyDescent="0.25">
      <c r="D566" s="355"/>
      <c r="E566" s="841"/>
      <c r="F566" s="841"/>
      <c r="G566" s="841"/>
      <c r="H566" s="841"/>
      <c r="I566" s="841"/>
      <c r="J566" s="841"/>
      <c r="K566" s="841"/>
      <c r="L566" s="841"/>
      <c r="M566" s="841"/>
      <c r="N566" s="841"/>
      <c r="O566" s="841"/>
      <c r="P566" s="841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.75" x14ac:dyDescent="0.2">
      <c r="B567" s="357"/>
      <c r="C567" s="747"/>
      <c r="D567" s="747"/>
      <c r="E567" s="747"/>
      <c r="F567" s="747"/>
      <c r="G567" s="747"/>
      <c r="H567" s="747"/>
      <c r="I567" s="747"/>
      <c r="J567" s="747"/>
      <c r="K567" s="747"/>
      <c r="L567" s="747"/>
      <c r="M567" s="747"/>
      <c r="N567" s="747"/>
      <c r="O567" s="747"/>
      <c r="P567" s="747"/>
      <c r="Q567" s="747"/>
      <c r="R567" s="747"/>
      <c r="S567" s="747"/>
      <c r="T567" s="747"/>
      <c r="U567" s="747"/>
      <c r="V567" s="747"/>
      <c r="W567" s="747"/>
      <c r="X567" s="747"/>
      <c r="Y567" s="747"/>
      <c r="Z567" s="747"/>
      <c r="AA567" s="747"/>
      <c r="AB567" s="357"/>
    </row>
    <row r="568" spans="1:28" s="179" customFormat="1" ht="5.0999999999999996" customHeight="1" x14ac:dyDescent="0.2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">
      <c r="B569" s="359"/>
      <c r="C569" s="359"/>
      <c r="D569" s="779"/>
      <c r="E569" s="779"/>
      <c r="F569" s="779"/>
      <c r="G569" s="779"/>
      <c r="H569" s="779"/>
      <c r="I569" s="779"/>
      <c r="J569" s="779"/>
      <c r="K569" s="779"/>
      <c r="L569" s="779"/>
      <c r="M569" s="779"/>
      <c r="N569" s="779"/>
      <c r="O569" s="779"/>
      <c r="P569" s="779"/>
      <c r="Q569" s="779"/>
      <c r="R569" s="779"/>
      <c r="S569" s="779"/>
      <c r="T569" s="779"/>
      <c r="U569" s="779"/>
      <c r="V569" s="779"/>
      <c r="W569" s="779"/>
      <c r="X569" s="779"/>
      <c r="Y569" s="779"/>
      <c r="Z569" s="779"/>
      <c r="AA569" s="779"/>
      <c r="AB569" s="359"/>
    </row>
    <row r="570" spans="1:28" s="179" customFormat="1" ht="27" customHeight="1" x14ac:dyDescent="0.3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">
      <c r="B571" s="722" t="s">
        <v>493</v>
      </c>
      <c r="C571" s="722"/>
      <c r="D571" s="722"/>
      <c r="E571" s="722"/>
      <c r="F571" s="722"/>
      <c r="G571" s="722"/>
      <c r="H571" s="722"/>
      <c r="I571" s="722"/>
      <c r="J571" s="722"/>
      <c r="K571" s="722"/>
      <c r="L571" s="722"/>
      <c r="M571" s="722"/>
      <c r="N571" s="722"/>
      <c r="O571" s="722"/>
      <c r="P571" s="722"/>
      <c r="Q571" s="722"/>
      <c r="R571" s="361"/>
      <c r="S571" s="723" t="s">
        <v>494</v>
      </c>
      <c r="T571" s="723"/>
      <c r="U571" s="723"/>
      <c r="V571" s="723"/>
      <c r="W571" s="723"/>
      <c r="X571" s="723"/>
      <c r="Y571" s="723"/>
      <c r="Z571" s="723"/>
      <c r="AA571" s="723"/>
      <c r="AB571" s="723"/>
    </row>
    <row r="572" spans="1:28" s="386" customFormat="1" ht="27" customHeight="1" x14ac:dyDescent="0.2">
      <c r="B572" s="840" t="s">
        <v>495</v>
      </c>
      <c r="C572" s="840"/>
      <c r="D572" s="840"/>
      <c r="E572" s="840"/>
      <c r="F572" s="840"/>
      <c r="G572" s="840"/>
      <c r="H572" s="731"/>
      <c r="I572" s="732"/>
      <c r="J572" s="732"/>
      <c r="K572" s="732"/>
      <c r="L572" s="732"/>
      <c r="M572" s="732"/>
      <c r="N572" s="732"/>
      <c r="O572" s="732"/>
      <c r="P572" s="732"/>
      <c r="Q572" s="733"/>
      <c r="R572" s="362"/>
      <c r="S572" s="717" t="s">
        <v>13</v>
      </c>
      <c r="T572" s="718"/>
      <c r="U572" s="718"/>
      <c r="V572" s="718"/>
      <c r="W572" s="718"/>
      <c r="X572" s="746"/>
      <c r="Y572" s="793">
        <f>Resume!O4</f>
        <v>555</v>
      </c>
      <c r="Z572" s="794"/>
      <c r="AA572" s="794"/>
      <c r="AB572" s="794"/>
    </row>
    <row r="573" spans="1:28" s="386" customFormat="1" ht="27" customHeight="1" x14ac:dyDescent="0.2">
      <c r="B573" s="840" t="s">
        <v>496</v>
      </c>
      <c r="C573" s="840"/>
      <c r="D573" s="840"/>
      <c r="E573" s="840"/>
      <c r="F573" s="840"/>
      <c r="G573" s="840"/>
      <c r="H573" s="731"/>
      <c r="I573" s="732"/>
      <c r="J573" s="732"/>
      <c r="K573" s="732"/>
      <c r="L573" s="732"/>
      <c r="M573" s="732"/>
      <c r="N573" s="732"/>
      <c r="O573" s="732"/>
      <c r="P573" s="732"/>
      <c r="Q573" s="733"/>
      <c r="R573" s="362"/>
      <c r="S573" s="717" t="s">
        <v>1</v>
      </c>
      <c r="T573" s="718"/>
      <c r="U573" s="718"/>
      <c r="V573" s="718"/>
      <c r="W573" s="718"/>
      <c r="X573" s="746"/>
      <c r="Y573" s="794">
        <f>Resume!O13</f>
        <v>984.1</v>
      </c>
      <c r="Z573" s="794"/>
      <c r="AA573" s="794"/>
      <c r="AB573" s="794"/>
    </row>
    <row r="574" spans="1:28" s="386" customFormat="1" ht="27" customHeight="1" x14ac:dyDescent="0.2">
      <c r="B574" s="840" t="s">
        <v>497</v>
      </c>
      <c r="C574" s="840"/>
      <c r="D574" s="840"/>
      <c r="E574" s="840"/>
      <c r="F574" s="840"/>
      <c r="G574" s="840"/>
      <c r="H574" s="731"/>
      <c r="I574" s="732"/>
      <c r="J574" s="732"/>
      <c r="K574" s="732"/>
      <c r="L574" s="732"/>
      <c r="M574" s="732"/>
      <c r="N574" s="732"/>
      <c r="O574" s="732"/>
      <c r="P574" s="732"/>
      <c r="Q574" s="733"/>
      <c r="R574" s="362"/>
      <c r="S574" s="717" t="s">
        <v>316</v>
      </c>
      <c r="T574" s="718"/>
      <c r="U574" s="718"/>
      <c r="V574" s="718"/>
      <c r="W574" s="718"/>
      <c r="X574" s="746"/>
      <c r="Y574" s="793">
        <f>Resume!O28</f>
        <v>298.38000000000005</v>
      </c>
      <c r="Z574" s="794"/>
      <c r="AA574" s="794"/>
      <c r="AB574" s="794"/>
    </row>
    <row r="575" spans="1:28" s="386" customFormat="1" ht="27" customHeight="1" x14ac:dyDescent="0.2">
      <c r="B575" s="840" t="s">
        <v>498</v>
      </c>
      <c r="C575" s="840"/>
      <c r="D575" s="840"/>
      <c r="E575" s="840"/>
      <c r="F575" s="840"/>
      <c r="G575" s="840"/>
      <c r="H575" s="734"/>
      <c r="I575" s="735"/>
      <c r="J575" s="735"/>
      <c r="K575" s="735"/>
      <c r="L575" s="735"/>
      <c r="M575" s="735"/>
      <c r="N575" s="735"/>
      <c r="O575" s="735"/>
      <c r="P575" s="735"/>
      <c r="Q575" s="736"/>
      <c r="R575" s="362"/>
      <c r="S575" s="717" t="s">
        <v>317</v>
      </c>
      <c r="T575" s="718"/>
      <c r="U575" s="718"/>
      <c r="V575" s="718"/>
      <c r="W575" s="718"/>
      <c r="X575" s="746"/>
      <c r="Y575" s="794">
        <f>Resume!O89</f>
        <v>0</v>
      </c>
      <c r="Z575" s="794"/>
      <c r="AA575" s="794"/>
      <c r="AB575" s="794"/>
    </row>
    <row r="576" spans="1:28" s="386" customFormat="1" ht="27" customHeight="1" x14ac:dyDescent="0.2">
      <c r="B576" s="840" t="s">
        <v>499</v>
      </c>
      <c r="C576" s="840"/>
      <c r="D576" s="840"/>
      <c r="E576" s="840"/>
      <c r="F576" s="840"/>
      <c r="G576" s="840"/>
      <c r="H576" s="731"/>
      <c r="I576" s="732"/>
      <c r="J576" s="732"/>
      <c r="K576" s="732"/>
      <c r="L576" s="732"/>
      <c r="M576" s="732"/>
      <c r="N576" s="732"/>
      <c r="O576" s="732"/>
      <c r="P576" s="732"/>
      <c r="Q576" s="733"/>
      <c r="R576" s="362"/>
      <c r="S576" s="717" t="s">
        <v>14</v>
      </c>
      <c r="T576" s="718"/>
      <c r="U576" s="718"/>
      <c r="V576" s="718"/>
      <c r="W576" s="718"/>
      <c r="X576" s="746"/>
      <c r="Y576" s="794">
        <f>Resume!O110</f>
        <v>26.34</v>
      </c>
      <c r="Z576" s="794"/>
      <c r="AA576" s="794"/>
      <c r="AB576" s="794"/>
    </row>
    <row r="577" spans="2:28" s="386" customFormat="1" ht="27" customHeight="1" x14ac:dyDescent="0.2">
      <c r="B577" s="840" t="s">
        <v>500</v>
      </c>
      <c r="C577" s="840"/>
      <c r="D577" s="840"/>
      <c r="E577" s="840"/>
      <c r="F577" s="840"/>
      <c r="G577" s="840"/>
      <c r="H577" s="737" t="s">
        <v>408</v>
      </c>
      <c r="I577" s="738"/>
      <c r="J577" s="738"/>
      <c r="K577" s="738"/>
      <c r="L577" s="738"/>
      <c r="M577" s="738"/>
      <c r="N577" s="738"/>
      <c r="O577" s="738"/>
      <c r="P577" s="738"/>
      <c r="Q577" s="739"/>
      <c r="R577" s="393"/>
      <c r="S577" s="717" t="s">
        <v>492</v>
      </c>
      <c r="T577" s="718"/>
      <c r="U577" s="718"/>
      <c r="V577" s="718"/>
      <c r="W577" s="718"/>
      <c r="X577" s="746"/>
      <c r="Y577" s="793">
        <f>Resume!O151</f>
        <v>0</v>
      </c>
      <c r="Z577" s="793"/>
      <c r="AA577" s="793"/>
      <c r="AB577" s="793"/>
    </row>
    <row r="578" spans="2:28" s="386" customFormat="1" ht="27" customHeight="1" x14ac:dyDescent="0.2">
      <c r="B578" s="840" t="s">
        <v>501</v>
      </c>
      <c r="C578" s="840"/>
      <c r="D578" s="840"/>
      <c r="E578" s="840"/>
      <c r="F578" s="840"/>
      <c r="G578" s="840"/>
      <c r="H578" s="740"/>
      <c r="I578" s="741"/>
      <c r="J578" s="741"/>
      <c r="K578" s="741"/>
      <c r="L578" s="741"/>
      <c r="M578" s="741"/>
      <c r="N578" s="741"/>
      <c r="O578" s="741"/>
      <c r="P578" s="741"/>
      <c r="Q578" s="742"/>
      <c r="R578" s="362"/>
      <c r="S578" s="717" t="s">
        <v>112</v>
      </c>
      <c r="T578" s="718"/>
      <c r="U578" s="718"/>
      <c r="V578" s="718"/>
      <c r="W578" s="718"/>
      <c r="X578" s="746"/>
      <c r="Y578" s="793">
        <f>Resume!O155</f>
        <v>81.500000000000014</v>
      </c>
      <c r="Z578" s="794"/>
      <c r="AA578" s="794"/>
      <c r="AB578" s="794"/>
    </row>
    <row r="579" spans="2:28" s="386" customFormat="1" ht="27" customHeight="1" x14ac:dyDescent="0.2">
      <c r="B579" s="840" t="s">
        <v>502</v>
      </c>
      <c r="C579" s="840"/>
      <c r="D579" s="840"/>
      <c r="E579" s="840"/>
      <c r="F579" s="840"/>
      <c r="G579" s="840"/>
      <c r="H579" s="743" t="s">
        <v>512</v>
      </c>
      <c r="I579" s="744"/>
      <c r="J579" s="744"/>
      <c r="K579" s="744"/>
      <c r="L579" s="744"/>
      <c r="M579" s="744"/>
      <c r="N579" s="744"/>
      <c r="O579" s="744"/>
      <c r="P579" s="744"/>
      <c r="Q579" s="745"/>
      <c r="R579" s="394"/>
      <c r="S579" s="717" t="s">
        <v>545</v>
      </c>
      <c r="T579" s="718"/>
      <c r="U579" s="718"/>
      <c r="V579" s="718"/>
      <c r="W579" s="718"/>
      <c r="X579" s="746"/>
      <c r="Y579" s="794">
        <f>Resume!O177</f>
        <v>118</v>
      </c>
      <c r="Z579" s="794"/>
      <c r="AA579" s="794"/>
      <c r="AB579" s="794"/>
    </row>
    <row r="580" spans="2:28" s="386" customFormat="1" ht="27" customHeight="1" x14ac:dyDescent="0.2">
      <c r="B580" s="840" t="s">
        <v>503</v>
      </c>
      <c r="C580" s="840"/>
      <c r="D580" s="840"/>
      <c r="E580" s="840"/>
      <c r="F580" s="840"/>
      <c r="G580" s="840"/>
      <c r="H580" s="740"/>
      <c r="I580" s="741"/>
      <c r="J580" s="741"/>
      <c r="K580" s="741"/>
      <c r="L580" s="741"/>
      <c r="M580" s="741"/>
      <c r="N580" s="741"/>
      <c r="O580" s="741"/>
      <c r="P580" s="741"/>
      <c r="Q580" s="742"/>
      <c r="R580" s="362"/>
      <c r="S580" s="717" t="s">
        <v>113</v>
      </c>
      <c r="T580" s="718"/>
      <c r="U580" s="718"/>
      <c r="V580" s="718"/>
      <c r="W580" s="718"/>
      <c r="X580" s="746"/>
      <c r="Y580" s="793">
        <f>Resume!O203</f>
        <v>0</v>
      </c>
      <c r="Z580" s="793"/>
      <c r="AA580" s="793"/>
      <c r="AB580" s="793"/>
    </row>
    <row r="581" spans="2:28" s="386" customFormat="1" ht="27" customHeight="1" x14ac:dyDescent="0.2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17" t="s">
        <v>544</v>
      </c>
      <c r="T581" s="718"/>
      <c r="U581" s="718"/>
      <c r="V581" s="718"/>
      <c r="W581" s="718"/>
      <c r="X581" s="746"/>
      <c r="Y581" s="793">
        <f>Resume!O212</f>
        <v>0</v>
      </c>
      <c r="Z581" s="793"/>
      <c r="AA581" s="793"/>
      <c r="AB581" s="793"/>
    </row>
    <row r="582" spans="2:28" s="386" customFormat="1" ht="27" customHeight="1" x14ac:dyDescent="0.2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06" t="s">
        <v>19</v>
      </c>
      <c r="T582" s="707"/>
      <c r="U582" s="707"/>
      <c r="V582" s="707"/>
      <c r="W582" s="707"/>
      <c r="X582" s="708"/>
      <c r="Y582" s="798">
        <v>0</v>
      </c>
      <c r="Z582" s="798"/>
      <c r="AA582" s="798"/>
      <c r="AB582" s="798"/>
    </row>
    <row r="583" spans="2:28" s="386" customFormat="1" ht="27" customHeight="1" x14ac:dyDescent="0.2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09" t="s">
        <v>19</v>
      </c>
      <c r="T583" s="710"/>
      <c r="U583" s="710"/>
      <c r="V583" s="710"/>
      <c r="W583" s="710"/>
      <c r="X583" s="710"/>
      <c r="Y583" s="836">
        <v>0</v>
      </c>
      <c r="Z583" s="837"/>
      <c r="AA583" s="837"/>
      <c r="AB583" s="838"/>
    </row>
    <row r="584" spans="2:28" s="386" customFormat="1" ht="27" customHeight="1" x14ac:dyDescent="0.2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1" t="s">
        <v>15</v>
      </c>
      <c r="T584" s="712"/>
      <c r="U584" s="712"/>
      <c r="V584" s="712"/>
      <c r="W584" s="712"/>
      <c r="X584" s="713"/>
      <c r="Y584" s="799">
        <f>SUM(Y572:Y583)</f>
        <v>2063.3199999999997</v>
      </c>
      <c r="Z584" s="800"/>
      <c r="AA584" s="800"/>
      <c r="AB584" s="801"/>
    </row>
    <row r="585" spans="2:28" s="386" customFormat="1" ht="27" customHeight="1" x14ac:dyDescent="0.2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4" t="s">
        <v>18</v>
      </c>
      <c r="T585" s="715"/>
      <c r="U585" s="715"/>
      <c r="V585" s="715"/>
      <c r="W585" s="715"/>
      <c r="X585" s="716"/>
      <c r="Y585" s="787">
        <f>IF(Y584&lt;100,25,0)</f>
        <v>0</v>
      </c>
      <c r="Z585" s="788"/>
      <c r="AA585" s="788"/>
      <c r="AB585" s="789"/>
    </row>
    <row r="586" spans="2:28" s="386" customFormat="1" ht="27" customHeight="1" x14ac:dyDescent="0.2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17" t="s">
        <v>20</v>
      </c>
      <c r="T586" s="718"/>
      <c r="U586" s="718"/>
      <c r="V586" s="718"/>
      <c r="W586" s="718"/>
      <c r="X586" s="718"/>
      <c r="Y586" s="790">
        <v>0</v>
      </c>
      <c r="Z586" s="791"/>
      <c r="AA586" s="791"/>
      <c r="AB586" s="792"/>
    </row>
    <row r="587" spans="2:28" s="386" customFormat="1" ht="27" customHeight="1" x14ac:dyDescent="0.2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09" t="s">
        <v>21</v>
      </c>
      <c r="T587" s="710"/>
      <c r="U587" s="710"/>
      <c r="V587" s="710"/>
      <c r="W587" s="710"/>
      <c r="X587" s="710"/>
      <c r="Y587" s="790">
        <v>0</v>
      </c>
      <c r="Z587" s="791"/>
      <c r="AA587" s="791"/>
      <c r="AB587" s="792"/>
    </row>
    <row r="588" spans="2:28" s="386" customFormat="1" ht="27" customHeight="1" x14ac:dyDescent="0.2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19" t="s">
        <v>6</v>
      </c>
      <c r="T588" s="720"/>
      <c r="U588" s="720"/>
      <c r="V588" s="720"/>
      <c r="W588" s="720"/>
      <c r="X588" s="721"/>
      <c r="Y588" s="784">
        <f>Y584+Y585+Y586+Y587</f>
        <v>2063.3199999999997</v>
      </c>
      <c r="Z588" s="785"/>
      <c r="AA588" s="785"/>
      <c r="AB588" s="786"/>
    </row>
    <row r="591" spans="2:28" hidden="1" x14ac:dyDescent="0.2">
      <c r="D591" s="166" t="s">
        <v>438</v>
      </c>
    </row>
    <row r="592" spans="2:28" hidden="1" x14ac:dyDescent="0.2">
      <c r="D592" s="166" t="s">
        <v>439</v>
      </c>
    </row>
    <row r="593" spans="4:4" hidden="1" x14ac:dyDescent="0.2"/>
    <row r="594" spans="4:4" hidden="1" x14ac:dyDescent="0.2">
      <c r="D594" s="166" t="s">
        <v>480</v>
      </c>
    </row>
    <row r="595" spans="4:4" hidden="1" x14ac:dyDescent="0.2">
      <c r="D595" s="166" t="s">
        <v>481</v>
      </c>
    </row>
  </sheetData>
  <sheetProtection algorithmName="SHA-512" hashValue="mhEFd5MbBnEUGQ9dN3jIc+G6eKzAkzJgABxsrRp7EJKmCww3JDANGFhFavm/o3Q5VSemwhTxheU5pneSs88yGg==" saltValue="GAD9dvgRkYzO7Bjd3LXtrg==" spinCount="100000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4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>
      <formula1>$D$590:$D$592</formula1>
    </dataValidation>
    <dataValidation type="list" allowBlank="1" showInputMessage="1" showErrorMessage="1" sqref="R580:R581 H580:Q580">
      <formula1>$D$594:$D$595</formula1>
    </dataValidation>
    <dataValidation type="list" allowBlank="1" showInputMessage="1" showErrorMessage="1" sqref="U441:V441 P419:Q419 K419:L419 F419:G419">
      <formula1>$AE$428:$AE$437</formula1>
    </dataValidation>
  </dataValidations>
  <hyperlinks>
    <hyperlink ref="N509:Q509" r:id="rId1" display="Fabrication &amp; design training at Flexpipe's facility.  Click here for dates available"/>
    <hyperlink ref="S509:V509" r:id="rId2" display="Fabrication &amp; design training at Flexpipe's facility.  Click here for dates available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08"/>
  <sheetViews>
    <sheetView tabSelected="1" topLeftCell="A16" zoomScaleNormal="100" workbookViewId="0">
      <selection activeCell="L36" sqref="L36"/>
    </sheetView>
  </sheetViews>
  <sheetFormatPr baseColWidth="10" defaultColWidth="9.28515625" defaultRowHeight="12.75" x14ac:dyDescent="0.2"/>
  <cols>
    <col min="1" max="1" width="1.7109375" style="401" customWidth="1"/>
    <col min="2" max="2" width="10.42578125" style="401" customWidth="1"/>
    <col min="3" max="3" width="16.42578125" style="401" customWidth="1"/>
    <col min="4" max="4" width="25.28515625" style="401" customWidth="1"/>
    <col min="5" max="5" width="23.28515625" style="401" customWidth="1"/>
    <col min="6" max="6" width="15.28515625" style="401" customWidth="1"/>
    <col min="7" max="7" width="14.5703125" style="401" customWidth="1"/>
    <col min="8" max="8" width="9.28515625" style="401" customWidth="1"/>
    <col min="9" max="9" width="16.7109375" style="401" customWidth="1"/>
    <col min="10" max="10" width="19.5703125" style="401" hidden="1" customWidth="1"/>
    <col min="11" max="11" width="11.42578125" style="401" hidden="1" customWidth="1"/>
    <col min="12" max="12" width="12.7109375" style="401" customWidth="1"/>
    <col min="13" max="13" width="12.5703125" style="401" customWidth="1"/>
    <col min="14" max="14" width="10" style="401" customWidth="1"/>
    <col min="15" max="15" width="9.28515625" style="401" customWidth="1"/>
    <col min="16" max="16" width="7.7109375" style="401" customWidth="1"/>
    <col min="17" max="17" width="8.5703125" style="401" customWidth="1"/>
    <col min="18" max="18" width="20.5703125" style="401" customWidth="1"/>
    <col min="19" max="19" width="10.5703125" style="401" customWidth="1"/>
    <col min="20" max="20" width="8.5703125" style="401" customWidth="1"/>
    <col min="21" max="21" width="10" style="401" customWidth="1"/>
    <col min="22" max="22" width="13.42578125" style="401" customWidth="1"/>
    <col min="23" max="23" width="14" style="401" customWidth="1"/>
    <col min="24" max="24" width="6.5703125" style="401" customWidth="1"/>
    <col min="25" max="27" width="12.5703125" style="401" customWidth="1"/>
    <col min="28" max="28" width="71.5703125" style="401" customWidth="1"/>
    <col min="29" max="29" width="50.42578125" style="401" customWidth="1"/>
    <col min="30" max="53" width="9.28515625" style="401" customWidth="1"/>
    <col min="54" max="16384" width="9.28515625" style="401"/>
  </cols>
  <sheetData>
    <row r="1" spans="1:13" ht="13.15" customHeight="1" x14ac:dyDescent="0.35">
      <c r="A1" s="399"/>
      <c r="B1" s="400"/>
      <c r="C1" s="399"/>
      <c r="D1" s="399"/>
      <c r="E1" s="1046" t="s">
        <v>30</v>
      </c>
      <c r="F1" s="1047"/>
      <c r="G1" s="1047"/>
    </row>
    <row r="2" spans="1:13" ht="13.15" customHeight="1" x14ac:dyDescent="0.35">
      <c r="A2" s="399"/>
      <c r="B2" s="400"/>
      <c r="C2" s="399"/>
      <c r="D2" s="399"/>
      <c r="E2" s="1047"/>
      <c r="F2" s="1047"/>
      <c r="G2" s="1047"/>
      <c r="I2" s="402"/>
    </row>
    <row r="3" spans="1:13" ht="23.65" customHeight="1" x14ac:dyDescent="0.2">
      <c r="A3" s="399"/>
      <c r="B3" s="403" t="s">
        <v>432</v>
      </c>
      <c r="C3" s="404"/>
      <c r="D3" s="1"/>
      <c r="E3" s="399"/>
      <c r="F3" s="405" t="s">
        <v>31</v>
      </c>
      <c r="G3" s="484" t="s">
        <v>206</v>
      </c>
    </row>
    <row r="4" spans="1:13" ht="12.4" customHeight="1" x14ac:dyDescent="0.2">
      <c r="A4" s="399"/>
      <c r="B4" s="3" t="str">
        <f>VLOOKUP(B3,B75:E78,2)</f>
        <v>1355 Magenta Est</v>
      </c>
      <c r="C4" s="1"/>
      <c r="D4" s="1"/>
      <c r="E4" s="399"/>
      <c r="F4" s="406"/>
      <c r="G4" s="407"/>
    </row>
    <row r="5" spans="1:13" ht="12.4" customHeight="1" x14ac:dyDescent="0.2">
      <c r="A5" s="399"/>
      <c r="B5" s="3" t="str">
        <f>VLOOKUP(B3,B75:E78,3)</f>
        <v>Farnham, QC, J2N1C4</v>
      </c>
      <c r="C5" s="1"/>
      <c r="D5" s="404"/>
      <c r="E5" s="399"/>
      <c r="F5" s="408" t="s">
        <v>32</v>
      </c>
      <c r="G5" s="407">
        <f ca="1">TODAY()</f>
        <v>44152</v>
      </c>
    </row>
    <row r="6" spans="1:13" ht="12.4" customHeight="1" x14ac:dyDescent="0.2">
      <c r="A6" s="399"/>
      <c r="B6" s="3" t="str">
        <f>VLOOKUP(B3,B75:E78,4)</f>
        <v>Tel: 1-855-406-0253 Fax: 1-866-516-1183</v>
      </c>
      <c r="C6" s="1"/>
      <c r="D6" s="1"/>
      <c r="E6" s="399"/>
      <c r="F6" s="408" t="str">
        <f>VLOOKUP(E1,B82:W84,4)</f>
        <v>Valid until:</v>
      </c>
      <c r="G6" s="407">
        <f ca="1">G5+45</f>
        <v>44197</v>
      </c>
      <c r="I6" s="402"/>
    </row>
    <row r="7" spans="1:13" ht="8.65" customHeight="1" x14ac:dyDescent="0.2">
      <c r="A7" s="399"/>
      <c r="B7" s="409"/>
      <c r="C7" s="399"/>
      <c r="D7" s="399"/>
      <c r="E7" s="399"/>
      <c r="F7" s="399"/>
      <c r="G7" s="399"/>
    </row>
    <row r="8" spans="1:13" ht="12.4" customHeight="1" x14ac:dyDescent="0.2">
      <c r="A8" s="399"/>
      <c r="B8" s="410" t="str">
        <f>VLOOKUP(E1,B82:W84,2)</f>
        <v>Customer:</v>
      </c>
      <c r="C8" s="1048" t="s">
        <v>979</v>
      </c>
      <c r="D8" s="1048"/>
      <c r="E8" s="412" t="str">
        <f>VLOOKUP(E1,B82:W84,5)</f>
        <v>Salesperson:</v>
      </c>
      <c r="F8" s="399" t="s">
        <v>431</v>
      </c>
      <c r="G8" s="1"/>
      <c r="I8" s="48"/>
      <c r="J8" s="5"/>
      <c r="K8" s="5"/>
      <c r="L8" s="6"/>
      <c r="M8" s="5"/>
    </row>
    <row r="9" spans="1:13" ht="12.4" customHeight="1" x14ac:dyDescent="0.2">
      <c r="A9" s="399"/>
      <c r="B9" s="410" t="str">
        <f>VLOOKUP(E1,B82:W84,3)</f>
        <v>Company:</v>
      </c>
      <c r="C9" s="1048" t="s">
        <v>980</v>
      </c>
      <c r="D9" s="1048"/>
      <c r="E9" s="412" t="str">
        <f>VLOOKUP(E1,B82:W84,6)</f>
        <v>Phone:</v>
      </c>
      <c r="F9" s="399" t="str">
        <f>VLOOKUP(F8,B59:F73,2,FALSE)</f>
        <v>1-855-406-0253</v>
      </c>
      <c r="G9" s="1"/>
      <c r="I9" s="48"/>
      <c r="J9" s="5"/>
      <c r="K9" s="5"/>
      <c r="L9" s="6"/>
      <c r="M9" s="5"/>
    </row>
    <row r="10" spans="1:13" ht="12.4" customHeight="1" x14ac:dyDescent="0.2">
      <c r="A10" s="399"/>
      <c r="B10" s="410"/>
      <c r="C10" s="477"/>
      <c r="D10" s="477"/>
      <c r="E10" s="412" t="s">
        <v>505</v>
      </c>
      <c r="F10" s="411">
        <f>VLOOKUP(F8,B59:F73,3,FALSE)</f>
        <v>313</v>
      </c>
      <c r="G10" s="1"/>
      <c r="I10" s="48"/>
      <c r="J10" s="5"/>
      <c r="K10" s="5"/>
      <c r="L10" s="6"/>
      <c r="M10" s="5"/>
    </row>
    <row r="11" spans="1:13" ht="12.4" customHeight="1" x14ac:dyDescent="0.2">
      <c r="A11" s="399"/>
      <c r="B11" s="413"/>
      <c r="C11" s="410"/>
      <c r="D11" s="410"/>
      <c r="E11" s="412" t="str">
        <f>VLOOKUP(E1,B82:W84,7)</f>
        <v>Mobile:</v>
      </c>
      <c r="F11" s="399" t="str">
        <f>VLOOKUP(F8,B59:F73,4,FALSE)</f>
        <v>--</v>
      </c>
      <c r="G11" s="1"/>
      <c r="I11" s="48"/>
      <c r="J11" s="5"/>
      <c r="K11" s="5"/>
      <c r="L11" s="6"/>
      <c r="M11" s="5"/>
    </row>
    <row r="12" spans="1:13" ht="12.4" customHeight="1" x14ac:dyDescent="0.2">
      <c r="A12" s="399"/>
      <c r="B12" s="413"/>
      <c r="C12" s="410"/>
      <c r="D12" s="410"/>
      <c r="E12" s="412" t="str">
        <f>VLOOKUP(E1,B82:W84,8)</f>
        <v>Email:</v>
      </c>
      <c r="F12" s="399" t="str">
        <f>VLOOKUP(F8,B59:F73,5,FALSE)</f>
        <v>srodeck@flexpipeinc.com</v>
      </c>
      <c r="G12" s="414"/>
      <c r="I12" s="48"/>
      <c r="J12" s="5"/>
      <c r="K12" s="5"/>
      <c r="L12" s="6"/>
      <c r="M12" s="5"/>
    </row>
    <row r="13" spans="1:13" ht="12.4" customHeight="1" x14ac:dyDescent="0.2">
      <c r="A13" s="399"/>
      <c r="B13" s="410"/>
      <c r="C13" s="410"/>
      <c r="D13" s="410"/>
      <c r="E13" s="412" t="str">
        <f>VLOOKUP(E1,B82:W84,9)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1500000000000004" customHeight="1" x14ac:dyDescent="0.2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">
      <c r="A15" s="399"/>
      <c r="B15" s="1049" t="str">
        <f>VLOOKUP(E1,B82:W84,10)</f>
        <v>FREIGHT DETAILS</v>
      </c>
      <c r="C15" s="1050"/>
      <c r="D15" s="1051"/>
      <c r="E15" s="1052" t="str">
        <f>VLOOKUP(E1,B82:W84,11)</f>
        <v>LEAD TIME</v>
      </c>
      <c r="F15" s="1053"/>
      <c r="G15" s="418" t="str">
        <f>VLOOKUP(E1,B82:W84,12)</f>
        <v>TERMS</v>
      </c>
    </row>
    <row r="16" spans="1:13" x14ac:dyDescent="0.2">
      <c r="A16" s="399"/>
      <c r="B16" s="1041" t="s">
        <v>549</v>
      </c>
      <c r="C16" s="1042"/>
      <c r="D16" s="1043"/>
      <c r="E16" s="1044" t="s">
        <v>980</v>
      </c>
      <c r="F16" s="1045"/>
      <c r="G16" s="419" t="s">
        <v>391</v>
      </c>
      <c r="I16" s="402"/>
    </row>
    <row r="17" spans="1:12" ht="6" customHeight="1" x14ac:dyDescent="0.2">
      <c r="A17" s="399"/>
      <c r="B17" s="420"/>
      <c r="C17" s="420"/>
      <c r="D17" s="420"/>
      <c r="E17" s="420"/>
      <c r="F17" s="420"/>
      <c r="G17" s="421"/>
      <c r="I17" s="402"/>
    </row>
    <row r="18" spans="1:12" x14ac:dyDescent="0.2">
      <c r="A18" s="399"/>
      <c r="B18" s="443" t="str">
        <f>VLOOKUP(E1,B82:W84,13)</f>
        <v>QUANTITY</v>
      </c>
      <c r="C18" s="444" t="str">
        <f>VLOOKUP(E1,B82:W84,22)</f>
        <v>PART #</v>
      </c>
      <c r="D18" s="1036" t="str">
        <f>VLOOKUP(E1,B82:W84,14)</f>
        <v>DESCRIPTION</v>
      </c>
      <c r="E18" s="1037"/>
      <c r="F18" s="443" t="str">
        <f>VLOOKUP(E1,B82:W84,15)</f>
        <v>UNIT PRICE</v>
      </c>
      <c r="G18" s="443" t="s">
        <v>60</v>
      </c>
    </row>
    <row r="19" spans="1:12" ht="13.9" customHeight="1" x14ac:dyDescent="0.2">
      <c r="A19" s="399"/>
      <c r="B19" s="422"/>
      <c r="C19" s="1038"/>
      <c r="D19" s="1039"/>
      <c r="E19" s="1040"/>
      <c r="F19" s="422"/>
      <c r="G19" s="423"/>
      <c r="H19" s="1145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50</v>
      </c>
      <c r="C20" s="10" t="str">
        <f>IFERROR(INDEX(Resume!$C$3:$F$231,MATCH(ROW($B1),Resume!$N$3:$N$231,0),MATCH(Quotation!C$18,Resume!$C$2:$F$2,0)),"")</f>
        <v>P-96-BL</v>
      </c>
      <c r="D20" s="1034" t="str">
        <f>IFERROR(INDEX(Resume!$C$3:$F$231,MATCH(ROW($B1),Resume!$N$3:$N$231,0),MATCH(Quotation!D$18,Resume!$C$2:$F$2,0)),"")</f>
        <v>Blue 8' steel pipe PE coated</v>
      </c>
      <c r="E20" s="1035"/>
      <c r="F20" s="493">
        <f>IFERROR(INDEX(Resume!$C$3:$F$231,MATCH(ROW($B1),Resume!$N$3:$N$231,0),MATCH(Quotation!F$18,Resume!$C$2:$F$2,0)),"")</f>
        <v>8.9499999999999993</v>
      </c>
      <c r="G20" s="494">
        <f t="shared" ref="G20:G48" si="0">IFERROR(F20*B20,"")</f>
        <v>447.49999999999994</v>
      </c>
      <c r="H20" s="1146"/>
      <c r="I20" s="595"/>
      <c r="J20" s="595"/>
      <c r="K20" s="595"/>
      <c r="L20" s="595"/>
    </row>
    <row r="21" spans="1:12" ht="15" x14ac:dyDescent="0.25">
      <c r="A21" s="399"/>
      <c r="B21" s="425">
        <f>IFERROR(INDEX(Resume!$C$3:$F$231,MATCH(ROW($B2),Resume!$N$3:$N$231,0),MATCH(Quotation!B$18,Resume!$C$2:$F$2,0)),"")</f>
        <v>10</v>
      </c>
      <c r="C21" s="10" t="str">
        <f>IFERROR(INDEX(Resume!$C$3:$F$231,MATCH(ROW($B2),Resume!$N$3:$N$231,0),MATCH(Quotation!C$18,Resume!$C$2:$F$2,0)),"")</f>
        <v>EP-96-ST</v>
      </c>
      <c r="D21" s="1034" t="str">
        <f>IFERROR(INDEX(Resume!$C$3:$F$231,MATCH(ROW($B2),Resume!$N$3:$N$231,0),MATCH(Quotation!D$18,Resume!$C$2:$F$2,0)),"")</f>
        <v>Stainless steel 8' pipe</v>
      </c>
      <c r="E21" s="1035"/>
      <c r="F21" s="493">
        <f>IFERROR(INDEX(Resume!$C$3:$F$231,MATCH(ROW($B2),Resume!$N$3:$N$231,0),MATCH(Quotation!F$18,Resume!$C$2:$F$2,0)),"")</f>
        <v>10.75</v>
      </c>
      <c r="G21" s="494">
        <f t="shared" si="0"/>
        <v>107.5</v>
      </c>
      <c r="H21" s="1145"/>
      <c r="I21" s="595"/>
      <c r="J21" s="595"/>
      <c r="K21" s="595"/>
      <c r="L21" s="595"/>
    </row>
    <row r="22" spans="1:12" ht="15" x14ac:dyDescent="0.25">
      <c r="A22" s="399"/>
      <c r="B22" s="425">
        <f>IFERROR(INDEX(Resume!$C$3:$F$231,MATCH(ROW($B3),Resume!$N$3:$N$231,0),MATCH(Quotation!B$18,Resume!$C$2:$F$2,0)),"")</f>
        <v>30</v>
      </c>
      <c r="C22" s="10" t="str">
        <f>IFERROR(INDEX(Resume!$C$3:$F$231,MATCH(ROW($B3),Resume!$N$3:$N$231,0),MATCH(Quotation!C$18,Resume!$C$2:$F$2,0)),"")</f>
        <v>R40-RT96</v>
      </c>
      <c r="D22" s="1034" t="str">
        <f>IFERROR(INDEX(Resume!$C$3:$F$231,MATCH(ROW($B3),Resume!$N$3:$N$231,0),MATCH(Quotation!D$18,Resume!$C$2:$F$2,0)),"")</f>
        <v>8' Steel roller track (ESD)</v>
      </c>
      <c r="E22" s="1035"/>
      <c r="F22" s="493">
        <f>IFERROR(INDEX(Resume!$C$3:$F$231,MATCH(ROW($B3),Resume!$N$3:$N$231,0),MATCH(Quotation!F$18,Resume!$C$2:$F$2,0)),"")</f>
        <v>24</v>
      </c>
      <c r="G22" s="494">
        <f t="shared" si="0"/>
        <v>720</v>
      </c>
      <c r="H22" s="1145"/>
      <c r="I22" s="595"/>
      <c r="J22" s="595"/>
      <c r="K22" s="595"/>
      <c r="L22" s="595"/>
    </row>
    <row r="23" spans="1:12" ht="15" x14ac:dyDescent="0.25">
      <c r="A23" s="399"/>
      <c r="B23" s="425">
        <f>IFERROR(INDEX(Resume!$C$3:$F$231,MATCH(ROW($B4),Resume!$N$3:$N$231,0),MATCH(Quotation!B$18,Resume!$C$2:$F$2,0)),"")</f>
        <v>42</v>
      </c>
      <c r="C23" s="10" t="str">
        <f>IFERROR(INDEX(Resume!$C$3:$F$231,MATCH(ROW($B4),Resume!$N$3:$N$231,0),MATCH(Quotation!C$18,Resume!$C$2:$F$2,0)),"")</f>
        <v>R40-MS</v>
      </c>
      <c r="D23" s="1034" t="str">
        <f>IFERROR(INDEX(Resume!$C$3:$F$231,MATCH(ROW($B4),Resume!$N$3:$N$231,0),MATCH(Quotation!D$18,Resume!$C$2:$F$2,0)),"")</f>
        <v>Track mount start steel zinc</v>
      </c>
      <c r="E23" s="1035"/>
      <c r="F23" s="493">
        <f>IFERROR(INDEX(Resume!$C$3:$F$231,MATCH(ROW($B4),Resume!$N$3:$N$231,0),MATCH(Quotation!F$18,Resume!$C$2:$F$2,0)),"")</f>
        <v>1.55</v>
      </c>
      <c r="G23" s="494">
        <f t="shared" si="0"/>
        <v>65.100000000000009</v>
      </c>
      <c r="H23" s="1145"/>
      <c r="I23" s="595"/>
      <c r="J23" s="595"/>
      <c r="K23" s="595"/>
      <c r="L23" s="595"/>
    </row>
    <row r="24" spans="1:12" ht="15" x14ac:dyDescent="0.25">
      <c r="A24" s="399"/>
      <c r="B24" s="425">
        <f>IFERROR(INDEX(Resume!$C$3:$F$231,MATCH(ROW($B5),Resume!$N$3:$N$231,0),MATCH(Quotation!B$18,Resume!$C$2:$F$2,0)),"")</f>
        <v>4</v>
      </c>
      <c r="C24" s="10" t="str">
        <f>IFERROR(INDEX(Resume!$C$3:$F$231,MATCH(ROW($B5),Resume!$N$3:$N$231,0),MATCH(Quotation!C$18,Resume!$C$2:$F$2,0)),"")</f>
        <v>R40-TS</v>
      </c>
      <c r="D24" s="1034" t="str">
        <f>IFERROR(INDEX(Resume!$C$3:$F$231,MATCH(ROW($B5),Resume!$N$3:$N$231,0),MATCH(Quotation!D$18,Resume!$C$2:$F$2,0)),"")</f>
        <v>Track mount tab stop steel zinc</v>
      </c>
      <c r="E24" s="1035"/>
      <c r="F24" s="493">
        <f>IFERROR(INDEX(Resume!$C$3:$F$231,MATCH(ROW($B5),Resume!$N$3:$N$231,0),MATCH(Quotation!F$18,Resume!$C$2:$F$2,0)),"")</f>
        <v>1.9</v>
      </c>
      <c r="G24" s="494">
        <f t="shared" si="0"/>
        <v>7.6</v>
      </c>
      <c r="H24" s="1145"/>
      <c r="I24" s="595"/>
      <c r="J24" s="595"/>
      <c r="K24" s="595"/>
      <c r="L24" s="595"/>
    </row>
    <row r="25" spans="1:12" ht="15" x14ac:dyDescent="0.25">
      <c r="A25" s="399"/>
      <c r="B25" s="425">
        <f>IFERROR(INDEX(Resume!$C$3:$F$231,MATCH(ROW($B6),Resume!$N$3:$N$231,0),MATCH(Quotation!B$18,Resume!$C$2:$F$2,0)),"")</f>
        <v>6</v>
      </c>
      <c r="C25" s="10" t="str">
        <f>IFERROR(INDEX(Resume!$C$3:$F$231,MATCH(ROW($B6),Resume!$N$3:$N$231,0),MATCH(Quotation!C$18,Resume!$C$2:$F$2,0)),"")</f>
        <v>R40-TU</v>
      </c>
      <c r="D25" s="1034" t="str">
        <f>IFERROR(INDEX(Resume!$C$3:$F$231,MATCH(ROW($B6),Resume!$N$3:$N$231,0),MATCH(Quotation!D$18,Resume!$C$2:$F$2,0)),"")</f>
        <v>Track union steel zinc</v>
      </c>
      <c r="E25" s="1035"/>
      <c r="F25" s="493">
        <f>IFERROR(INDEX(Resume!$C$3:$F$231,MATCH(ROW($B6),Resume!$N$3:$N$231,0),MATCH(Quotation!F$18,Resume!$C$2:$F$2,0)),"")</f>
        <v>3</v>
      </c>
      <c r="G25" s="494">
        <f t="shared" si="0"/>
        <v>18</v>
      </c>
      <c r="H25" s="1145"/>
      <c r="I25" s="595"/>
      <c r="J25" s="595"/>
      <c r="K25" s="595"/>
      <c r="L25" s="595"/>
    </row>
    <row r="26" spans="1:12" ht="15" x14ac:dyDescent="0.25">
      <c r="A26" s="399"/>
      <c r="B26" s="425">
        <f>IFERROR(INDEX(Resume!$C$3:$F$231,MATCH(ROW($B7),Resume!$N$3:$N$231,0),MATCH(Quotation!B$18,Resume!$C$2:$F$2,0)),"")</f>
        <v>42</v>
      </c>
      <c r="C26" s="10" t="str">
        <f>IFERROR(INDEX(Resume!$C$3:$F$231,MATCH(ROW($B7),Resume!$N$3:$N$231,0),MATCH(Quotation!C$18,Resume!$C$2:$F$2,0)),"")</f>
        <v>R40-DS</v>
      </c>
      <c r="D26" s="1034" t="str">
        <f>IFERROR(INDEX(Resume!$C$3:$F$231,MATCH(ROW($B7),Resume!$N$3:$N$231,0),MATCH(Quotation!D$18,Resume!$C$2:$F$2,0)),"")</f>
        <v>Track mount drop stop steel zinc</v>
      </c>
      <c r="E26" s="1035"/>
      <c r="F26" s="493">
        <f>IFERROR(INDEX(Resume!$C$3:$F$231,MATCH(ROW($B7),Resume!$N$3:$N$231,0),MATCH(Quotation!F$18,Resume!$C$2:$F$2,0)),"")</f>
        <v>1.7</v>
      </c>
      <c r="G26" s="494">
        <f t="shared" si="0"/>
        <v>71.399999999999991</v>
      </c>
      <c r="H26" s="1145"/>
      <c r="I26" s="595"/>
      <c r="J26" s="595"/>
      <c r="K26" s="595"/>
      <c r="L26" s="595"/>
    </row>
    <row r="27" spans="1:12" s="426" customFormat="1" ht="12.75" customHeight="1" x14ac:dyDescent="0.25">
      <c r="A27" s="424"/>
      <c r="B27" s="425">
        <f>IFERROR(INDEX(Resume!$C$3:$F$231,MATCH(ROW($B8),Resume!$N$3:$N$231,0),MATCH(Quotation!B$18,Resume!$C$2:$F$2,0)),"")</f>
        <v>4</v>
      </c>
      <c r="C27" s="10" t="str">
        <f>IFERROR(INDEX(Resume!$C$3:$F$231,MATCH(ROW($B8),Resume!$N$3:$N$231,0),MATCH(Quotation!C$18,Resume!$C$2:$F$2,0)),"")</f>
        <v>R40-TC</v>
      </c>
      <c r="D27" s="1034" t="str">
        <f>IFERROR(INDEX(Resume!$C$3:$F$231,MATCH(ROW($B8),Resume!$N$3:$N$231,0),MATCH(Quotation!D$18,Resume!$C$2:$F$2,0)),"")</f>
        <v>Track connector steel zinc</v>
      </c>
      <c r="E27" s="1035"/>
      <c r="F27" s="493">
        <f>IFERROR(INDEX(Resume!$C$3:$F$231,MATCH(ROW($B8),Resume!$N$3:$N$231,0),MATCH(Quotation!F$18,Resume!$C$2:$F$2,0)),"")</f>
        <v>3</v>
      </c>
      <c r="G27" s="494">
        <f t="shared" si="0"/>
        <v>12</v>
      </c>
      <c r="H27" s="1146"/>
      <c r="I27" s="595"/>
      <c r="J27" s="595"/>
      <c r="K27" s="595"/>
      <c r="L27" s="595"/>
    </row>
    <row r="28" spans="1:12" ht="15" x14ac:dyDescent="0.25">
      <c r="A28" s="399"/>
      <c r="B28" s="425">
        <f>IFERROR(INDEX(Resume!$C$3:$F$231,MATCH(ROW($B9),Resume!$N$3:$N$231,0),MATCH(Quotation!B$18,Resume!$C$2:$F$2,0)),"")</f>
        <v>4</v>
      </c>
      <c r="C28" s="10" t="str">
        <f>IFERROR(INDEX(Resume!$C$3:$F$231,MATCH(ROW($B9),Resume!$N$3:$N$231,0),MATCH(Quotation!C$18,Resume!$C$2:$F$2,0)),"")</f>
        <v>R40-GUIDE</v>
      </c>
      <c r="D28" s="1034" t="str">
        <f>IFERROR(INDEX(Resume!$C$3:$F$231,MATCH(ROW($B9),Resume!$N$3:$N$231,0),MATCH(Quotation!D$18,Resume!$C$2:$F$2,0)),"")</f>
        <v>8' PE plastic roller guide</v>
      </c>
      <c r="E28" s="1035"/>
      <c r="F28" s="493">
        <f>IFERROR(INDEX(Resume!$C$3:$F$231,MATCH(ROW($B9),Resume!$N$3:$N$231,0),MATCH(Quotation!F$18,Resume!$C$2:$F$2,0)),"")</f>
        <v>22.5</v>
      </c>
      <c r="G28" s="494">
        <f t="shared" si="0"/>
        <v>90</v>
      </c>
      <c r="H28" s="1145"/>
      <c r="I28" s="595"/>
      <c r="J28" s="595"/>
      <c r="K28" s="595"/>
      <c r="L28" s="595"/>
    </row>
    <row r="29" spans="1:12" ht="15" x14ac:dyDescent="0.25">
      <c r="A29" s="399"/>
      <c r="B29" s="425">
        <f>IFERROR(INDEX(Resume!$C$3:$F$231,MATCH(ROW($B10),Resume!$N$3:$N$231,0),MATCH(Quotation!B$18,Resume!$C$2:$F$2,0)),"")</f>
        <v>180</v>
      </c>
      <c r="C29" s="10" t="str">
        <f>IFERROR(INDEX(Resume!$C$3:$F$231,MATCH(ROW($B10),Resume!$N$3:$N$231,0),MATCH(Quotation!C$18,Resume!$C$2:$F$2,0)),"")</f>
        <v>H-1</v>
      </c>
      <c r="D29" s="1034" t="str">
        <f>IFERROR(INDEX(Resume!$C$3:$F$231,MATCH(ROW($B10),Resume!$N$3:$N$231,0),MATCH(Quotation!D$18,Resume!$C$2:$F$2,0)),"")</f>
        <v>Standard tee joint steel black</v>
      </c>
      <c r="E29" s="1035"/>
      <c r="F29" s="493">
        <f>IFERROR(INDEX(Resume!$C$3:$F$231,MATCH(ROW($B10),Resume!$N$3:$N$231,0),MATCH(Quotation!F$18,Resume!$C$2:$F$2,0)),"")</f>
        <v>0.55000000000000004</v>
      </c>
      <c r="G29" s="494">
        <f t="shared" si="0"/>
        <v>99.000000000000014</v>
      </c>
      <c r="H29" s="1145"/>
      <c r="I29" s="595"/>
      <c r="J29" s="595"/>
      <c r="K29" s="595"/>
      <c r="L29" s="595"/>
    </row>
    <row r="30" spans="1:12" ht="15" x14ac:dyDescent="0.25">
      <c r="A30" s="399"/>
      <c r="B30" s="425">
        <f>IFERROR(INDEX(Resume!$C$3:$F$231,MATCH(ROW($B11),Resume!$N$3:$N$231,0),MATCH(Quotation!B$18,Resume!$C$2:$F$2,0)),"")</f>
        <v>20</v>
      </c>
      <c r="C30" s="10" t="str">
        <f>IFERROR(INDEX(Resume!$C$3:$F$231,MATCH(ROW($B11),Resume!$N$3:$N$231,0),MATCH(Quotation!C$18,Resume!$C$2:$F$2,0)),"")</f>
        <v>H-2</v>
      </c>
      <c r="D30" s="1034" t="str">
        <f>IFERROR(INDEX(Resume!$C$3:$F$231,MATCH(ROW($B11),Resume!$N$3:$N$231,0),MATCH(Quotation!D$18,Resume!$C$2:$F$2,0)),"")</f>
        <v>Inner corner joint steel black</v>
      </c>
      <c r="E30" s="1035"/>
      <c r="F30" s="493">
        <f>IFERROR(INDEX(Resume!$C$3:$F$231,MATCH(ROW($B11),Resume!$N$3:$N$231,0),MATCH(Quotation!F$18,Resume!$C$2:$F$2,0)),"")</f>
        <v>0.9</v>
      </c>
      <c r="G30" s="494">
        <f t="shared" si="0"/>
        <v>18</v>
      </c>
      <c r="H30" s="1145"/>
      <c r="I30" s="595"/>
      <c r="J30" s="595"/>
      <c r="K30" s="595"/>
      <c r="L30" s="595"/>
    </row>
    <row r="31" spans="1:12" ht="15" x14ac:dyDescent="0.25">
      <c r="A31" s="399"/>
      <c r="B31" s="425">
        <f>IFERROR(INDEX(Resume!$C$3:$F$231,MATCH(ROW($B12),Resume!$N$3:$N$231,0),MATCH(Quotation!B$18,Resume!$C$2:$F$2,0)),"")</f>
        <v>16</v>
      </c>
      <c r="C31" s="10" t="str">
        <f>IFERROR(INDEX(Resume!$C$3:$F$231,MATCH(ROW($B12),Resume!$N$3:$N$231,0),MATCH(Quotation!C$18,Resume!$C$2:$F$2,0)),"")</f>
        <v>H-3</v>
      </c>
      <c r="D31" s="1034" t="str">
        <f>IFERROR(INDEX(Resume!$C$3:$F$231,MATCH(ROW($B12),Resume!$N$3:$N$231,0),MATCH(Quotation!D$18,Resume!$C$2:$F$2,0)),"")</f>
        <v>Outer corner joint steel black</v>
      </c>
      <c r="E31" s="1035"/>
      <c r="F31" s="493">
        <f>IFERROR(INDEX(Resume!$C$3:$F$231,MATCH(ROW($B12),Resume!$N$3:$N$231,0),MATCH(Quotation!F$18,Resume!$C$2:$F$2,0)),"")</f>
        <v>0.95</v>
      </c>
      <c r="G31" s="494">
        <f t="shared" si="0"/>
        <v>15.2</v>
      </c>
      <c r="H31" s="1145"/>
      <c r="I31" s="595"/>
      <c r="J31" s="595"/>
      <c r="K31" s="595"/>
      <c r="L31" s="595"/>
    </row>
    <row r="32" spans="1:12" ht="15" x14ac:dyDescent="0.25">
      <c r="A32" s="399"/>
      <c r="B32" s="425">
        <f>IFERROR(INDEX(Resume!$C$3:$F$231,MATCH(ROW($B13),Resume!$N$3:$N$231,0),MATCH(Quotation!B$18,Resume!$C$2:$F$2,0)),"")</f>
        <v>34</v>
      </c>
      <c r="C32" s="10" t="str">
        <f>IFERROR(INDEX(Resume!$C$3:$F$231,MATCH(ROW($B13),Resume!$N$3:$N$231,0),MATCH(Quotation!C$18,Resume!$C$2:$F$2,0)),"")</f>
        <v>H-4</v>
      </c>
      <c r="D32" s="1034" t="str">
        <f>IFERROR(INDEX(Resume!$C$3:$F$231,MATCH(ROW($B13),Resume!$N$3:$N$231,0),MATCH(Quotation!D$18,Resume!$C$2:$F$2,0)),"")</f>
        <v>Cross junction joint steel black</v>
      </c>
      <c r="E32" s="1035"/>
      <c r="F32" s="493">
        <f>IFERROR(INDEX(Resume!$C$3:$F$231,MATCH(ROW($B13),Resume!$N$3:$N$231,0),MATCH(Quotation!F$18,Resume!$C$2:$F$2,0)),"")</f>
        <v>0.85</v>
      </c>
      <c r="G32" s="494">
        <f t="shared" si="0"/>
        <v>28.9</v>
      </c>
      <c r="H32" s="1145"/>
      <c r="I32" s="595"/>
      <c r="J32" s="595"/>
      <c r="K32" s="595"/>
      <c r="L32" s="595"/>
    </row>
    <row r="33" spans="1:12" ht="15" x14ac:dyDescent="0.25">
      <c r="A33" s="399"/>
      <c r="B33" s="425">
        <f>IFERROR(INDEX(Resume!$C$3:$F$231,MATCH(ROW($B14),Resume!$N$3:$N$231,0),MATCH(Quotation!B$18,Resume!$C$2:$F$2,0)),"")</f>
        <v>16</v>
      </c>
      <c r="C33" s="10" t="str">
        <f>IFERROR(INDEX(Resume!$C$3:$F$231,MATCH(ROW($B14),Resume!$N$3:$N$231,0),MATCH(Quotation!C$18,Resume!$C$2:$F$2,0)),"")</f>
        <v>H-7</v>
      </c>
      <c r="D33" s="1034" t="str">
        <f>IFERROR(INDEX(Resume!$C$3:$F$231,MATCH(ROW($B14),Resume!$N$3:$N$231,0),MATCH(Quotation!D$18,Resume!$C$2:$F$2,0)),"")</f>
        <v>Intersection joint steel black</v>
      </c>
      <c r="E33" s="1035"/>
      <c r="F33" s="493">
        <f>IFERROR(INDEX(Resume!$C$3:$F$231,MATCH(ROW($B14),Resume!$N$3:$N$231,0),MATCH(Quotation!F$18,Resume!$C$2:$F$2,0)),"")</f>
        <v>0.55000000000000004</v>
      </c>
      <c r="G33" s="494">
        <f t="shared" si="0"/>
        <v>8.8000000000000007</v>
      </c>
      <c r="H33" s="1145"/>
      <c r="I33" s="595"/>
      <c r="J33" s="595"/>
      <c r="K33" s="595"/>
      <c r="L33" s="595"/>
    </row>
    <row r="34" spans="1:12" ht="15" x14ac:dyDescent="0.25">
      <c r="A34" s="399"/>
      <c r="B34" s="425">
        <f>IFERROR(INDEX(Resume!$C$3:$F$231,MATCH(ROW($B15),Resume!$N$3:$N$231,0),MATCH(Quotation!B$18,Resume!$C$2:$F$2,0)),"")</f>
        <v>32</v>
      </c>
      <c r="C34" s="10" t="str">
        <f>IFERROR(INDEX(Resume!$C$3:$F$231,MATCH(ROW($B15),Resume!$N$3:$N$231,0),MATCH(Quotation!C$18,Resume!$C$2:$F$2,0)),"")</f>
        <v>H-13</v>
      </c>
      <c r="D34" s="1034" t="str">
        <f>IFERROR(INDEX(Resume!$C$3:$F$231,MATCH(ROW($B15),Resume!$N$3:$N$231,0),MATCH(Quotation!D$18,Resume!$C$2:$F$2,0)),"")</f>
        <v>Parallel joint steel black</v>
      </c>
      <c r="E34" s="1035"/>
      <c r="F34" s="493">
        <f>IFERROR(INDEX(Resume!$C$3:$F$231,MATCH(ROW($B15),Resume!$N$3:$N$231,0),MATCH(Quotation!F$18,Resume!$C$2:$F$2,0)),"")</f>
        <v>0.59</v>
      </c>
      <c r="G34" s="494">
        <f t="shared" si="0"/>
        <v>18.88</v>
      </c>
      <c r="H34" s="1145"/>
      <c r="I34" s="595"/>
      <c r="J34" s="595"/>
      <c r="K34" s="595"/>
      <c r="L34" s="595"/>
    </row>
    <row r="35" spans="1:12" ht="15" x14ac:dyDescent="0.25">
      <c r="A35" s="399"/>
      <c r="B35" s="425">
        <f>IFERROR(INDEX(Resume!$C$3:$F$231,MATCH(ROW($B16),Resume!$N$3:$N$231,0),MATCH(Quotation!B$18,Resume!$C$2:$F$2,0)),"")</f>
        <v>16</v>
      </c>
      <c r="C35" s="10" t="str">
        <f>IFERROR(INDEX(Resume!$C$3:$F$231,MATCH(ROW($B16),Resume!$N$3:$N$231,0),MATCH(Quotation!C$18,Resume!$C$2:$F$2,0)),"")</f>
        <v>H-17</v>
      </c>
      <c r="D35" s="1034" t="str">
        <f>IFERROR(INDEX(Resume!$C$3:$F$231,MATCH(ROW($B16),Resume!$N$3:$N$231,0),MATCH(Quotation!D$18,Resume!$C$2:$F$2,0)),"")</f>
        <v>45 angle A joint steel black</v>
      </c>
      <c r="E35" s="1035"/>
      <c r="F35" s="493">
        <f>IFERROR(INDEX(Resume!$C$3:$F$231,MATCH(ROW($B16),Resume!$N$3:$N$231,0),MATCH(Quotation!F$18,Resume!$C$2:$F$2,0)),"")</f>
        <v>0.8</v>
      </c>
      <c r="G35" s="494">
        <f t="shared" si="0"/>
        <v>12.8</v>
      </c>
      <c r="H35" s="1145"/>
      <c r="I35" s="595"/>
      <c r="J35" s="595"/>
      <c r="K35" s="595"/>
      <c r="L35" s="595"/>
    </row>
    <row r="36" spans="1:12" ht="15" x14ac:dyDescent="0.25">
      <c r="A36" s="399"/>
      <c r="B36" s="425">
        <f>IFERROR(INDEX(Resume!$C$3:$F$231,MATCH(ROW($B17),Resume!$N$3:$N$231,0),MATCH(Quotation!B$18,Resume!$C$2:$F$2,0)),"")</f>
        <v>16</v>
      </c>
      <c r="C36" s="10" t="str">
        <f>IFERROR(INDEX(Resume!$C$3:$F$231,MATCH(ROW($B17),Resume!$N$3:$N$231,0),MATCH(Quotation!C$18,Resume!$C$2:$F$2,0)),"")</f>
        <v>H-18</v>
      </c>
      <c r="D36" s="1034" t="str">
        <f>IFERROR(INDEX(Resume!$C$3:$F$231,MATCH(ROW($B17),Resume!$N$3:$N$231,0),MATCH(Quotation!D$18,Resume!$C$2:$F$2,0)),"")</f>
        <v>45 angle B joint steel black</v>
      </c>
      <c r="E36" s="1035"/>
      <c r="F36" s="493">
        <f>IFERROR(INDEX(Resume!$C$3:$F$231,MATCH(ROW($B17),Resume!$N$3:$N$231,0),MATCH(Quotation!F$18,Resume!$C$2:$F$2,0)),"")</f>
        <v>0.8</v>
      </c>
      <c r="G36" s="494">
        <f t="shared" si="0"/>
        <v>12.8</v>
      </c>
      <c r="H36" s="1145"/>
      <c r="I36" s="595"/>
      <c r="J36" s="595"/>
      <c r="K36" s="595"/>
      <c r="L36" s="595"/>
    </row>
    <row r="37" spans="1:12" ht="15" x14ac:dyDescent="0.25">
      <c r="A37" s="399"/>
      <c r="B37" s="425">
        <f>IFERROR(INDEX(Resume!$C$3:$F$231,MATCH(ROW($B18),Resume!$N$3:$N$231,0),MATCH(Quotation!B$18,Resume!$C$2:$F$2,0)),"")</f>
        <v>24</v>
      </c>
      <c r="C37" s="10" t="str">
        <f>IFERROR(INDEX(Resume!$C$3:$F$231,MATCH(ROW($B18),Resume!$N$3:$N$231,0),MATCH(Quotation!C$18,Resume!$C$2:$F$2,0)),"")</f>
        <v>HJ-MS</v>
      </c>
      <c r="D37" s="1034" t="str">
        <f>IFERROR(INDEX(Resume!$C$3:$F$231,MATCH(ROW($B18),Resume!$N$3:$N$231,0),MATCH(Quotation!D$18,Resume!$C$2:$F$2,0)),"")</f>
        <v>Pipe mount start steel zinc</v>
      </c>
      <c r="E37" s="1035"/>
      <c r="F37" s="493">
        <f>IFERROR(INDEX(Resume!$C$3:$F$231,MATCH(ROW($B18),Resume!$N$3:$N$231,0),MATCH(Quotation!F$18,Resume!$C$2:$F$2,0)),"")</f>
        <v>1.7</v>
      </c>
      <c r="G37" s="494">
        <f t="shared" si="0"/>
        <v>40.799999999999997</v>
      </c>
      <c r="H37" s="1145"/>
      <c r="I37" s="595"/>
      <c r="J37" s="595"/>
      <c r="K37" s="595"/>
      <c r="L37" s="595"/>
    </row>
    <row r="38" spans="1:12" ht="15" x14ac:dyDescent="0.25">
      <c r="A38" s="399"/>
      <c r="B38" s="425">
        <f>IFERROR(INDEX(Resume!$C$3:$F$231,MATCH(ROW($B19),Resume!$N$3:$N$231,0),MATCH(Quotation!B$18,Resume!$C$2:$F$2,0)),"")</f>
        <v>24</v>
      </c>
      <c r="C38" s="10" t="str">
        <f>IFERROR(INDEX(Resume!$C$3:$F$231,MATCH(ROW($B19),Resume!$N$3:$N$231,0),MATCH(Quotation!C$18,Resume!$C$2:$F$2,0)),"")</f>
        <v>HJ-DS</v>
      </c>
      <c r="D38" s="1034" t="str">
        <f>IFERROR(INDEX(Resume!$C$3:$F$231,MATCH(ROW($B19),Resume!$N$3:$N$231,0),MATCH(Quotation!D$18,Resume!$C$2:$F$2,0)),"")</f>
        <v>Pipe mount drop stop steel zinc</v>
      </c>
      <c r="E38" s="1035"/>
      <c r="F38" s="493">
        <f>IFERROR(INDEX(Resume!$C$3:$F$231,MATCH(ROW($B19),Resume!$N$3:$N$231,0),MATCH(Quotation!F$18,Resume!$C$2:$F$2,0)),"")</f>
        <v>1.8</v>
      </c>
      <c r="G38" s="494">
        <f t="shared" si="0"/>
        <v>43.2</v>
      </c>
      <c r="H38" s="1145"/>
      <c r="I38" s="595"/>
      <c r="J38" s="595"/>
      <c r="K38" s="595"/>
      <c r="L38" s="595"/>
    </row>
    <row r="39" spans="1:12" ht="15" x14ac:dyDescent="0.25">
      <c r="A39" s="399"/>
      <c r="B39" s="425">
        <f>IFERROR(INDEX(Resume!$C$3:$F$231,MATCH(ROW($B20),Resume!$N$3:$N$231,0),MATCH(Quotation!B$18,Resume!$C$2:$F$2,0)),"")</f>
        <v>10</v>
      </c>
      <c r="C39" s="10" t="str">
        <f>IFERROR(INDEX(Resume!$C$3:$F$231,MATCH(ROW($B20),Resume!$N$3:$N$231,0),MATCH(Quotation!C$18,Resume!$C$2:$F$2,0)),"")</f>
        <v>AF-ILEV</v>
      </c>
      <c r="D39" s="1034" t="str">
        <f>IFERROR(INDEX(Resume!$C$3:$F$231,MATCH(ROW($B20),Resume!$N$3:$N$231,0),MATCH(Quotation!D$18,Resume!$C$2:$F$2,0)),"")</f>
        <v>Adjust. inner foot steel zinc</v>
      </c>
      <c r="E39" s="1035"/>
      <c r="F39" s="493">
        <f>IFERROR(INDEX(Resume!$C$3:$F$231,MATCH(ROW($B20),Resume!$N$3:$N$231,0),MATCH(Quotation!F$18,Resume!$C$2:$F$2,0)),"")</f>
        <v>2.4</v>
      </c>
      <c r="G39" s="494">
        <f t="shared" si="0"/>
        <v>24</v>
      </c>
      <c r="H39" s="1145"/>
      <c r="I39" s="595"/>
      <c r="J39" s="595"/>
      <c r="K39" s="595"/>
      <c r="L39" s="595"/>
    </row>
    <row r="40" spans="1:12" ht="15" x14ac:dyDescent="0.25">
      <c r="A40" s="399"/>
      <c r="B40" s="425">
        <f>IFERROR(INDEX(Resume!$C$3:$F$231,MATCH(ROW($B21),Resume!$N$3:$N$231,0),MATCH(Quotation!B$18,Resume!$C$2:$F$2,0)),"")</f>
        <v>170</v>
      </c>
      <c r="C40" s="10" t="str">
        <f>IFERROR(INDEX(Resume!$C$3:$F$231,MATCH(ROW($B21),Resume!$N$3:$N$231,0),MATCH(Quotation!C$18,Resume!$C$2:$F$2,0)),"")</f>
        <v>M6-25B</v>
      </c>
      <c r="D40" s="1034" t="str">
        <f>IFERROR(INDEX(Resume!$C$3:$F$231,MATCH(ROW($B21),Resume!$N$3:$N$231,0),MATCH(Quotation!D$18,Resume!$C$2:$F$2,0)),"")</f>
        <v>Bolt for joint set black zinc</v>
      </c>
      <c r="E40" s="1035"/>
      <c r="F40" s="493">
        <f>IFERROR(INDEX(Resume!$C$3:$F$231,MATCH(ROW($B21),Resume!$N$3:$N$231,0),MATCH(Quotation!F$18,Resume!$C$2:$F$2,0)),"")</f>
        <v>0.08</v>
      </c>
      <c r="G40" s="494">
        <f t="shared" si="0"/>
        <v>13.6</v>
      </c>
      <c r="H40" s="1145"/>
      <c r="I40" s="595"/>
      <c r="J40" s="595"/>
      <c r="K40" s="595"/>
      <c r="L40" s="595"/>
    </row>
    <row r="41" spans="1:12" ht="15" x14ac:dyDescent="0.25">
      <c r="A41" s="399"/>
      <c r="B41" s="425">
        <f>IFERROR(INDEX(Resume!$C$3:$F$231,MATCH(ROW($B22),Resume!$N$3:$N$231,0),MATCH(Quotation!B$18,Resume!$C$2:$F$2,0)),"")</f>
        <v>170</v>
      </c>
      <c r="C41" s="10" t="str">
        <f>IFERROR(INDEX(Resume!$C$3:$F$231,MATCH(ROW($B22),Resume!$N$3:$N$231,0),MATCH(Quotation!C$18,Resume!$C$2:$F$2,0)),"")</f>
        <v>M6-N</v>
      </c>
      <c r="D41" s="1034" t="str">
        <f>IFERROR(INDEX(Resume!$C$3:$F$231,MATCH(ROW($B22),Resume!$N$3:$N$231,0),MATCH(Quotation!D$18,Resume!$C$2:$F$2,0)),"")</f>
        <v>Nut for joint set black zinc</v>
      </c>
      <c r="E41" s="1035"/>
      <c r="F41" s="493">
        <f>IFERROR(INDEX(Resume!$C$3:$F$231,MATCH(ROW($B22),Resume!$N$3:$N$231,0),MATCH(Quotation!F$18,Resume!$C$2:$F$2,0)),"")</f>
        <v>7.0000000000000007E-2</v>
      </c>
      <c r="G41" s="494">
        <f t="shared" si="0"/>
        <v>11.9</v>
      </c>
      <c r="H41" s="1145"/>
      <c r="I41" s="595"/>
      <c r="J41" s="595"/>
      <c r="K41" s="595"/>
      <c r="L41" s="595"/>
    </row>
    <row r="42" spans="1:12" ht="15" x14ac:dyDescent="0.25">
      <c r="A42" s="399"/>
      <c r="B42" s="425">
        <f>IFERROR(INDEX(Resume!$C$3:$F$231,MATCH(ROW($B23),Resume!$N$3:$N$231,0),MATCH(Quotation!B$18,Resume!$C$2:$F$2,0)),"")</f>
        <v>200</v>
      </c>
      <c r="C42" s="10" t="str">
        <f>IFERROR(INDEX(Resume!$C$3:$F$231,MATCH(ROW($B23),Resume!$N$3:$N$231,0),MATCH(Quotation!C$18,Resume!$C$2:$F$2,0)),"")</f>
        <v>F-A85/8</v>
      </c>
      <c r="D42" s="1034" t="str">
        <f>IFERROR(INDEX(Resume!$C$3:$F$231,MATCH(ROW($B23),Resume!$N$3:$N$231,0),MATCH(Quotation!D$18,Resume!$C$2:$F$2,0)),"")</f>
        <v xml:space="preserve">100x Drilling screws #8 X 5/8" </v>
      </c>
      <c r="E42" s="1035"/>
      <c r="F42" s="493">
        <f>IFERROR(INDEX(Resume!$C$3:$F$231,MATCH(ROW($B23),Resume!$N$3:$N$231,0),MATCH(Quotation!F$18,Resume!$C$2:$F$2,0)),"")</f>
        <v>0.04</v>
      </c>
      <c r="G42" s="494">
        <f t="shared" si="0"/>
        <v>8</v>
      </c>
      <c r="H42" s="1145"/>
      <c r="I42" s="595"/>
      <c r="J42" s="595"/>
      <c r="K42" s="595"/>
      <c r="L42" s="595"/>
    </row>
    <row r="43" spans="1:12" ht="15" x14ac:dyDescent="0.25">
      <c r="A43" s="399"/>
      <c r="B43" s="425">
        <f>IFERROR(INDEX(Resume!$C$3:$F$231,MATCH(ROW($B24),Resume!$N$3:$N$231,0),MATCH(Quotation!B$18,Resume!$C$2:$F$2,0)),"")</f>
        <v>24</v>
      </c>
      <c r="C43" s="10" t="str">
        <f>IFERROR(INDEX(Resume!$C$3:$F$231,MATCH(ROW($B24),Resume!$N$3:$N$231,0),MATCH(Quotation!C$18,Resume!$C$2:$F$2,0)),"")</f>
        <v>WF-UP</v>
      </c>
      <c r="D43" s="1034" t="str">
        <f>IFERROR(INDEX(Resume!$C$3:$F$231,MATCH(ROW($B24),Resume!$N$3:$N$231,0),MATCH(Quotation!D$18,Resume!$C$2:$F$2,0)),"")</f>
        <v>Caster up bracket steel zinc</v>
      </c>
      <c r="E43" s="1035"/>
      <c r="F43" s="493">
        <f>IFERROR(INDEX(Resume!$C$3:$F$231,MATCH(ROW($B24),Resume!$N$3:$N$231,0),MATCH(Quotation!F$18,Resume!$C$2:$F$2,0)),"")</f>
        <v>0.8</v>
      </c>
      <c r="G43" s="494">
        <f t="shared" si="0"/>
        <v>19.200000000000003</v>
      </c>
      <c r="H43" s="1145"/>
      <c r="I43" s="595"/>
      <c r="J43" s="595"/>
      <c r="K43" s="595"/>
      <c r="L43" s="595"/>
    </row>
    <row r="44" spans="1:12" ht="15" x14ac:dyDescent="0.25">
      <c r="A44" s="399"/>
      <c r="B44" s="425">
        <f>IFERROR(INDEX(Resume!$C$3:$F$231,MATCH(ROW($B25),Resume!$N$3:$N$231,0),MATCH(Quotation!B$18,Resume!$C$2:$F$2,0)),"")</f>
        <v>24</v>
      </c>
      <c r="C44" s="10" t="str">
        <f>IFERROR(INDEX(Resume!$C$3:$F$231,MATCH(ROW($B25),Resume!$N$3:$N$231,0),MATCH(Quotation!C$18,Resume!$C$2:$F$2,0)),"")</f>
        <v>WF-LOW</v>
      </c>
      <c r="D44" s="1034" t="str">
        <f>IFERROR(INDEX(Resume!$C$3:$F$231,MATCH(ROW($B25),Resume!$N$3:$N$231,0),MATCH(Quotation!D$18,Resume!$C$2:$F$2,0)),"")</f>
        <v>Caster low bracket steel zinc</v>
      </c>
      <c r="E44" s="1035"/>
      <c r="F44" s="493">
        <f>IFERROR(INDEX(Resume!$C$3:$F$231,MATCH(ROW($B25),Resume!$N$3:$N$231,0),MATCH(Quotation!F$18,Resume!$C$2:$F$2,0)),"")</f>
        <v>0.8</v>
      </c>
      <c r="G44" s="494">
        <f t="shared" si="0"/>
        <v>19.200000000000003</v>
      </c>
      <c r="H44" s="1145"/>
      <c r="I44" s="595"/>
      <c r="J44" s="595"/>
      <c r="K44" s="595"/>
      <c r="L44" s="595"/>
    </row>
    <row r="45" spans="1:12" ht="15" x14ac:dyDescent="0.25">
      <c r="A45" s="399"/>
      <c r="B45" s="425">
        <f>IFERROR(INDEX(Resume!$C$3:$F$231,MATCH(ROW($B26),Resume!$N$3:$N$231,0),MATCH(Quotation!B$18,Resume!$C$2:$F$2,0)),"")</f>
        <v>48</v>
      </c>
      <c r="C45" s="10" t="str">
        <f>IFERROR(INDEX(Resume!$C$3:$F$231,MATCH(ROW($B26),Resume!$N$3:$N$231,0),MATCH(Quotation!C$18,Resume!$C$2:$F$2,0)),"")</f>
        <v>M8-35B</v>
      </c>
      <c r="D45" s="1034" t="str">
        <f>IFERROR(INDEX(Resume!$C$3:$F$231,MATCH(ROW($B26),Resume!$N$3:$N$231,0),MATCH(Quotation!D$18,Resume!$C$2:$F$2,0)),"")</f>
        <v>Bolt for 4" caster white zinc (4 per caster)</v>
      </c>
      <c r="E45" s="1035"/>
      <c r="F45" s="493">
        <f>IFERROR(INDEX(Resume!$C$3:$F$231,MATCH(ROW($B26),Resume!$N$3:$N$231,0),MATCH(Quotation!F$18,Resume!$C$2:$F$2,0)),"")</f>
        <v>0.15</v>
      </c>
      <c r="G45" s="494">
        <f t="shared" si="0"/>
        <v>7.1999999999999993</v>
      </c>
      <c r="H45" s="1145"/>
      <c r="I45" s="595"/>
      <c r="J45" s="595"/>
      <c r="K45" s="595"/>
      <c r="L45" s="595"/>
    </row>
    <row r="46" spans="1:12" ht="15" x14ac:dyDescent="0.25">
      <c r="A46" s="399"/>
      <c r="B46" s="425">
        <f>IFERROR(INDEX(Resume!$C$3:$F$231,MATCH(ROW($B27),Resume!$N$3:$N$231,0),MATCH(Quotation!B$18,Resume!$C$2:$F$2,0)),"")</f>
        <v>48</v>
      </c>
      <c r="C46" s="10" t="str">
        <f>IFERROR(INDEX(Resume!$C$3:$F$231,MATCH(ROW($B27),Resume!$N$3:$N$231,0),MATCH(Quotation!C$18,Resume!$C$2:$F$2,0)),"")</f>
        <v>M8-N</v>
      </c>
      <c r="D46" s="1034" t="str">
        <f>IFERROR(INDEX(Resume!$C$3:$F$231,MATCH(ROW($B27),Resume!$N$3:$N$231,0),MATCH(Quotation!D$18,Resume!$C$2:$F$2,0)),"")</f>
        <v>Lock nut for caster white zinc</v>
      </c>
      <c r="E46" s="1035"/>
      <c r="F46" s="493">
        <f>IFERROR(INDEX(Resume!$C$3:$F$231,MATCH(ROW($B27),Resume!$N$3:$N$231,0),MATCH(Quotation!F$18,Resume!$C$2:$F$2,0)),"")</f>
        <v>0.05</v>
      </c>
      <c r="G46" s="494">
        <f t="shared" si="0"/>
        <v>2.4000000000000004</v>
      </c>
      <c r="H46" s="1145"/>
      <c r="I46" s="595"/>
      <c r="J46" s="595"/>
      <c r="K46" s="595"/>
      <c r="L46" s="595"/>
    </row>
    <row r="47" spans="1:12" ht="15" x14ac:dyDescent="0.25">
      <c r="A47" s="399"/>
      <c r="B47" s="425">
        <f>IFERROR(INDEX(Resume!$C$3:$F$231,MATCH(ROW($B28),Resume!$N$3:$N$231,0),MATCH(Quotation!B$18,Resume!$C$2:$F$2,0)),"")</f>
        <v>8</v>
      </c>
      <c r="C47" s="10" t="str">
        <f>IFERROR(INDEX(Resume!$C$3:$F$231,MATCH(ROW($B28),Resume!$N$3:$N$231,0),MATCH(Quotation!C$18,Resume!$C$2:$F$2,0)),"")</f>
        <v>W-4PSB</v>
      </c>
      <c r="D47" s="1034" t="str">
        <f>IFERROR(INDEX(Resume!$C$3:$F$231,MATCH(ROW($B28),Resume!$N$3:$N$231,0),MATCH(Quotation!D$18,Resume!$C$2:$F$2,0)),"")</f>
        <v>4'' Swivel plate caster brake</v>
      </c>
      <c r="E47" s="1035"/>
      <c r="F47" s="493">
        <f>IFERROR(INDEX(Resume!$C$3:$F$231,MATCH(ROW($B28),Resume!$N$3:$N$231,0),MATCH(Quotation!F$18,Resume!$C$2:$F$2,0)),"")</f>
        <v>10.5</v>
      </c>
      <c r="G47" s="494">
        <f t="shared" si="0"/>
        <v>84</v>
      </c>
      <c r="H47" s="1145"/>
      <c r="I47" s="595"/>
      <c r="J47" s="595"/>
      <c r="K47" s="595"/>
      <c r="L47" s="595"/>
    </row>
    <row r="48" spans="1:12" ht="15" x14ac:dyDescent="0.25">
      <c r="A48" s="399"/>
      <c r="B48" s="425">
        <f>IFERROR(INDEX(Resume!$C$3:$F$231,MATCH(ROW($B29),Resume!$N$3:$N$231,0),MATCH(Quotation!B$18,Resume!$C$2:$F$2,0)),"")</f>
        <v>4</v>
      </c>
      <c r="C48" s="10" t="str">
        <f>IFERROR(INDEX(Resume!$C$3:$F$231,MATCH(ROW($B29),Resume!$N$3:$N$231,0),MATCH(Quotation!C$18,Resume!$C$2:$F$2,0)),"")</f>
        <v>W-4PF</v>
      </c>
      <c r="D48" s="1034" t="str">
        <f>IFERROR(INDEX(Resume!$C$3:$F$231,MATCH(ROW($B29),Resume!$N$3:$N$231,0),MATCH(Quotation!D$18,Resume!$C$2:$F$2,0)),"")</f>
        <v>4'' Rigid plate caster</v>
      </c>
      <c r="E48" s="1035"/>
      <c r="F48" s="493">
        <f>IFERROR(INDEX(Resume!$C$3:$F$231,MATCH(ROW($B29),Resume!$N$3:$N$231,0),MATCH(Quotation!F$18,Resume!$C$2:$F$2,0)),"")</f>
        <v>8.5</v>
      </c>
      <c r="G48" s="494">
        <f t="shared" si="0"/>
        <v>34</v>
      </c>
      <c r="H48" s="1145"/>
      <c r="I48" s="595"/>
      <c r="J48" s="595"/>
      <c r="K48" s="595"/>
      <c r="L48" s="595"/>
    </row>
    <row r="49" spans="1:12" ht="15" x14ac:dyDescent="0.25">
      <c r="A49" s="399"/>
      <c r="B49" s="425">
        <v>18</v>
      </c>
      <c r="C49" s="10" t="s">
        <v>232</v>
      </c>
      <c r="D49" s="1034" t="str">
        <f>IFERROR(INDEX(Resume!$C$3:$F$231,MATCH(ROW($B30),Resume!$N$3:$N$231,0),MATCH(Quotation!D$18,Resume!$C$2:$F$2,0)),"")</f>
        <v/>
      </c>
      <c r="E49" s="1035"/>
      <c r="F49" s="493">
        <v>0.13</v>
      </c>
      <c r="G49" s="494">
        <f t="shared" ref="G49" si="1">IFERROR(F49*B49,"")</f>
        <v>2.34</v>
      </c>
      <c r="H49" s="1145"/>
      <c r="I49" s="595"/>
      <c r="J49" s="595"/>
      <c r="K49" s="595"/>
      <c r="L49" s="595"/>
    </row>
    <row r="50" spans="1:12" x14ac:dyDescent="0.2">
      <c r="A50" s="399"/>
      <c r="B50" s="428"/>
      <c r="C50" s="429" t="s">
        <v>31</v>
      </c>
      <c r="D50" s="428"/>
      <c r="E50" s="430"/>
      <c r="F50" s="431" t="str">
        <f>VLOOKUP(E1,B82:W84,17)</f>
        <v>SUB-TOTAL</v>
      </c>
      <c r="G50" s="495">
        <f>SUM(G20:G49)</f>
        <v>2063.3200000000006</v>
      </c>
      <c r="I50" s="427"/>
      <c r="J50" s="427"/>
    </row>
    <row r="51" spans="1:12" x14ac:dyDescent="0.2">
      <c r="A51" s="399"/>
      <c r="B51" s="480" t="str">
        <f>VLOOKUP(E1,B82:W84,16)</f>
        <v>TRANSPORT SHOULD BE DONE BY:</v>
      </c>
      <c r="C51" s="481"/>
      <c r="D51" s="482">
        <f>Resume!I233</f>
        <v>581.88540000000012</v>
      </c>
      <c r="E51" s="430"/>
      <c r="F51" s="431"/>
      <c r="G51" s="496" t="e">
        <f>IF(F51= "NO TAXES",0,VLOOKUP(F51,B99:C108,2))*G50</f>
        <v>#N/A</v>
      </c>
      <c r="I51" s="427"/>
      <c r="J51" s="427"/>
    </row>
    <row r="52" spans="1:12" x14ac:dyDescent="0.2">
      <c r="A52" s="399"/>
      <c r="B52" s="432"/>
      <c r="C52" s="479">
        <f>IF(D52=Resume!E239,Resume!D239,IF(D52=Resume!E240,Resume!D240,IF(D52=Resume!E241,Resume!D241,IF(D52=Resume!E242,Resume!D242,IF(D52=Resume!E243,Resume!D243,0)))))</f>
        <v>1</v>
      </c>
      <c r="D52" s="478" t="str">
        <f>IFERROR(INDEX(Resume!$D$239:$G$243,MATCH(ROW($B1),Resume!$G$239:$G$243,0),MATCH(Quotation!D$51,Resume!$D$238:$G$238)),"")</f>
        <v>Wood skids 96'' X 48'' X 35'' (H)</v>
      </c>
      <c r="E52" s="430"/>
      <c r="F52" s="433" t="s">
        <v>60</v>
      </c>
      <c r="G52" s="496" t="e">
        <f>G50+G51</f>
        <v>#N/A</v>
      </c>
      <c r="I52" s="427"/>
      <c r="J52" s="427"/>
    </row>
    <row r="53" spans="1:12" x14ac:dyDescent="0.2">
      <c r="A53" s="399"/>
      <c r="B53" s="434"/>
      <c r="C53" s="479">
        <f>IF(D53=Resume!E240,Resume!D240,IF(D53=Resume!E241,Resume!D241,IF(D53=Resume!E242,Resume!D242,IF(D53=Resume!E243,Resume!D243,IF(D53=Resume!E244,Resume!D244,0)))))</f>
        <v>0</v>
      </c>
      <c r="D53" s="478" t="str">
        <f>IFERROR(INDEX(Resume!$D$239:$G$243,MATCH(ROW($B2),Resume!$G$239:$G$243,0),MATCH(Quotation!D$51,Resume!$D$238:$G$238)),"")</f>
        <v/>
      </c>
      <c r="E53" s="430"/>
      <c r="F53" s="399"/>
      <c r="G53" s="399"/>
      <c r="I53" s="427"/>
      <c r="J53" s="427"/>
    </row>
    <row r="54" spans="1:12" x14ac:dyDescent="0.2">
      <c r="A54" s="399"/>
      <c r="B54" s="434"/>
      <c r="C54" s="479" t="str">
        <f>VLOOKUP(E1,B82:W84,19)</f>
        <v>Total weight in lbs:</v>
      </c>
      <c r="D54" s="478">
        <f>ROUNDUP(Resume!I233,0)</f>
        <v>582</v>
      </c>
      <c r="E54" s="430"/>
      <c r="F54" s="399"/>
      <c r="G54" s="399"/>
      <c r="I54" s="427"/>
      <c r="J54" s="427"/>
    </row>
    <row r="55" spans="1:12" ht="5.25" customHeight="1" x14ac:dyDescent="0.2">
      <c r="A55" s="435"/>
      <c r="B55" s="436"/>
      <c r="C55" s="437"/>
      <c r="D55" s="438"/>
      <c r="E55" s="437"/>
      <c r="F55" s="435"/>
      <c r="G55" s="435"/>
      <c r="I55" s="427"/>
      <c r="J55" s="427"/>
    </row>
    <row r="57" spans="1:12" hidden="1" x14ac:dyDescent="0.2"/>
    <row r="58" spans="1:12" hidden="1" x14ac:dyDescent="0.2">
      <c r="B58" s="402" t="s">
        <v>33</v>
      </c>
    </row>
    <row r="59" spans="1:12" hidden="1" x14ac:dyDescent="0.2">
      <c r="B59" s="401" t="s">
        <v>427</v>
      </c>
      <c r="C59" s="401" t="s">
        <v>383</v>
      </c>
      <c r="D59" s="401">
        <v>311</v>
      </c>
      <c r="E59" s="401" t="s">
        <v>877</v>
      </c>
      <c r="F59" s="439" t="s">
        <v>428</v>
      </c>
    </row>
    <row r="60" spans="1:12" hidden="1" x14ac:dyDescent="0.2">
      <c r="B60" s="435" t="s">
        <v>410</v>
      </c>
      <c r="C60" s="401" t="s">
        <v>383</v>
      </c>
      <c r="D60" s="401">
        <v>302</v>
      </c>
      <c r="E60" s="401" t="s">
        <v>34</v>
      </c>
      <c r="F60" s="439" t="s">
        <v>35</v>
      </c>
    </row>
    <row r="61" spans="1:12" hidden="1" x14ac:dyDescent="0.2">
      <c r="B61" s="435" t="s">
        <v>504</v>
      </c>
      <c r="C61" s="401" t="s">
        <v>383</v>
      </c>
      <c r="D61" s="401">
        <v>304</v>
      </c>
      <c r="E61" s="440" t="s">
        <v>419</v>
      </c>
      <c r="F61" s="439" t="s">
        <v>38</v>
      </c>
    </row>
    <row r="62" spans="1:12" hidden="1" x14ac:dyDescent="0.2">
      <c r="B62" s="401" t="s">
        <v>431</v>
      </c>
      <c r="C62" s="401" t="s">
        <v>383</v>
      </c>
      <c r="D62" s="401">
        <v>313</v>
      </c>
      <c r="E62" s="440" t="s">
        <v>419</v>
      </c>
      <c r="F62" s="439" t="s">
        <v>434</v>
      </c>
    </row>
    <row r="63" spans="1:12" hidden="1" x14ac:dyDescent="0.2">
      <c r="B63" s="401" t="s">
        <v>904</v>
      </c>
      <c r="C63" s="401" t="s">
        <v>383</v>
      </c>
      <c r="D63" s="401">
        <v>306</v>
      </c>
      <c r="E63" s="440" t="s">
        <v>419</v>
      </c>
      <c r="F63" s="439" t="s">
        <v>905</v>
      </c>
    </row>
    <row r="64" spans="1:12" hidden="1" x14ac:dyDescent="0.2">
      <c r="B64" s="435" t="s">
        <v>903</v>
      </c>
      <c r="C64" s="401" t="s">
        <v>383</v>
      </c>
      <c r="D64" s="401">
        <v>7</v>
      </c>
      <c r="E64" s="401" t="s">
        <v>424</v>
      </c>
      <c r="F64" s="439" t="s">
        <v>425</v>
      </c>
    </row>
    <row r="65" spans="2:6" hidden="1" x14ac:dyDescent="0.2">
      <c r="B65" s="435" t="s">
        <v>41</v>
      </c>
      <c r="C65" s="401" t="s">
        <v>383</v>
      </c>
      <c r="D65" s="401">
        <v>301</v>
      </c>
      <c r="E65" s="401" t="s">
        <v>42</v>
      </c>
      <c r="F65" s="439" t="s">
        <v>43</v>
      </c>
    </row>
    <row r="66" spans="2:6" hidden="1" x14ac:dyDescent="0.2">
      <c r="B66" s="435" t="s">
        <v>409</v>
      </c>
      <c r="C66" s="401" t="s">
        <v>383</v>
      </c>
      <c r="D66" s="401">
        <v>9</v>
      </c>
      <c r="E66" s="435" t="s">
        <v>44</v>
      </c>
      <c r="F66" s="441" t="s">
        <v>411</v>
      </c>
    </row>
    <row r="67" spans="2:6" hidden="1" x14ac:dyDescent="0.2">
      <c r="B67" s="401" t="s">
        <v>416</v>
      </c>
      <c r="C67" s="401" t="s">
        <v>383</v>
      </c>
      <c r="D67" s="401">
        <v>8</v>
      </c>
      <c r="E67" s="401" t="s">
        <v>417</v>
      </c>
      <c r="F67" s="439" t="s">
        <v>418</v>
      </c>
    </row>
    <row r="68" spans="2:6" hidden="1" x14ac:dyDescent="0.2">
      <c r="B68" s="401" t="s">
        <v>911</v>
      </c>
      <c r="C68" s="401" t="s">
        <v>383</v>
      </c>
      <c r="D68" s="401">
        <v>11</v>
      </c>
      <c r="E68" s="401" t="s">
        <v>912</v>
      </c>
      <c r="F68" s="439" t="s">
        <v>913</v>
      </c>
    </row>
    <row r="69" spans="2:6" hidden="1" x14ac:dyDescent="0.2">
      <c r="B69" s="401" t="s">
        <v>430</v>
      </c>
      <c r="C69" s="401" t="s">
        <v>383</v>
      </c>
      <c r="D69" s="401">
        <v>6</v>
      </c>
      <c r="E69" s="401" t="s">
        <v>436</v>
      </c>
      <c r="F69" s="439" t="s">
        <v>435</v>
      </c>
    </row>
    <row r="70" spans="2:6" hidden="1" x14ac:dyDescent="0.2">
      <c r="B70" s="401" t="s">
        <v>482</v>
      </c>
      <c r="C70" s="401" t="s">
        <v>383</v>
      </c>
      <c r="D70" s="401">
        <v>4</v>
      </c>
      <c r="E70" s="401" t="s">
        <v>484</v>
      </c>
      <c r="F70" s="439" t="s">
        <v>483</v>
      </c>
    </row>
    <row r="71" spans="2:6" hidden="1" x14ac:dyDescent="0.2">
      <c r="B71" s="401" t="s">
        <v>908</v>
      </c>
      <c r="C71" s="401" t="s">
        <v>383</v>
      </c>
      <c r="D71" s="401">
        <v>308</v>
      </c>
      <c r="E71" s="440" t="s">
        <v>909</v>
      </c>
      <c r="F71" s="439" t="s">
        <v>910</v>
      </c>
    </row>
    <row r="72" spans="2:6" hidden="1" x14ac:dyDescent="0.2">
      <c r="B72" s="401" t="s">
        <v>546</v>
      </c>
      <c r="C72" s="401" t="s">
        <v>383</v>
      </c>
      <c r="D72" s="401">
        <v>309</v>
      </c>
      <c r="E72" s="440" t="s">
        <v>876</v>
      </c>
      <c r="F72" s="439" t="s">
        <v>547</v>
      </c>
    </row>
    <row r="73" spans="2:6" hidden="1" x14ac:dyDescent="0.2"/>
    <row r="74" spans="2:6" hidden="1" x14ac:dyDescent="0.2">
      <c r="B74" s="402" t="s">
        <v>46</v>
      </c>
    </row>
    <row r="75" spans="2:6" hidden="1" x14ac:dyDescent="0.2">
      <c r="B75" s="402"/>
    </row>
    <row r="76" spans="2:6" hidden="1" x14ac:dyDescent="0.2">
      <c r="B76" s="401" t="s">
        <v>432</v>
      </c>
      <c r="C76" s="401" t="s">
        <v>47</v>
      </c>
      <c r="D76" s="401" t="s">
        <v>381</v>
      </c>
      <c r="E76" s="401" t="s">
        <v>382</v>
      </c>
    </row>
    <row r="77" spans="2:6" hidden="1" x14ac:dyDescent="0.2">
      <c r="B77" s="401" t="s">
        <v>433</v>
      </c>
      <c r="C77" s="401" t="s">
        <v>906</v>
      </c>
      <c r="D77" s="401" t="s">
        <v>907</v>
      </c>
      <c r="E77" s="401" t="s">
        <v>382</v>
      </c>
    </row>
    <row r="78" spans="2:6" hidden="1" x14ac:dyDescent="0.2"/>
    <row r="79" spans="2:6" hidden="1" x14ac:dyDescent="0.2"/>
    <row r="80" spans="2:6" hidden="1" x14ac:dyDescent="0.2"/>
    <row r="81" spans="2:23" hidden="1" x14ac:dyDescent="0.2">
      <c r="B81" s="402" t="s">
        <v>100</v>
      </c>
    </row>
    <row r="82" spans="2:23" hidden="1" x14ac:dyDescent="0.2"/>
    <row r="83" spans="2:23" hidden="1" x14ac:dyDescent="0.2">
      <c r="B83" s="401" t="s">
        <v>30</v>
      </c>
      <c r="C83" s="401" t="s">
        <v>48</v>
      </c>
      <c r="D83" s="401" t="s">
        <v>49</v>
      </c>
      <c r="E83" s="401" t="s">
        <v>393</v>
      </c>
      <c r="F83" s="401" t="s">
        <v>474</v>
      </c>
      <c r="G83" s="401" t="s">
        <v>12</v>
      </c>
      <c r="H83" s="401" t="s">
        <v>392</v>
      </c>
      <c r="I83" s="401" t="s">
        <v>53</v>
      </c>
      <c r="J83" s="401" t="s">
        <v>54</v>
      </c>
      <c r="K83" s="401" t="s">
        <v>485</v>
      </c>
      <c r="L83" s="401" t="s">
        <v>55</v>
      </c>
      <c r="M83" s="401" t="s">
        <v>56</v>
      </c>
      <c r="N83" s="401" t="s">
        <v>57</v>
      </c>
      <c r="O83" s="401" t="s">
        <v>58</v>
      </c>
      <c r="P83" s="401" t="s">
        <v>59</v>
      </c>
      <c r="Q83" s="401" t="s">
        <v>103</v>
      </c>
      <c r="R83" s="401" t="s">
        <v>15</v>
      </c>
      <c r="S83" s="401" t="s">
        <v>61</v>
      </c>
      <c r="T83" s="401" t="s">
        <v>107</v>
      </c>
      <c r="U83" s="401" t="s">
        <v>62</v>
      </c>
      <c r="V83" s="401" t="s">
        <v>63</v>
      </c>
      <c r="W83" s="401" t="s">
        <v>64</v>
      </c>
    </row>
    <row r="84" spans="2:23" hidden="1" x14ac:dyDescent="0.2">
      <c r="B84" s="401" t="s">
        <v>65</v>
      </c>
      <c r="C84" s="401" t="s">
        <v>66</v>
      </c>
      <c r="D84" s="401" t="s">
        <v>67</v>
      </c>
      <c r="E84" s="401" t="s">
        <v>68</v>
      </c>
      <c r="F84" s="401" t="s">
        <v>69</v>
      </c>
      <c r="G84" s="401" t="s">
        <v>70</v>
      </c>
      <c r="H84" s="401" t="s">
        <v>52</v>
      </c>
      <c r="I84" s="401" t="s">
        <v>71</v>
      </c>
      <c r="J84" s="401" t="s">
        <v>72</v>
      </c>
      <c r="K84" s="401" t="s">
        <v>73</v>
      </c>
      <c r="L84" s="401" t="s">
        <v>74</v>
      </c>
      <c r="M84" s="401" t="s">
        <v>75</v>
      </c>
      <c r="N84" s="401" t="s">
        <v>76</v>
      </c>
      <c r="O84" s="401" t="s">
        <v>58</v>
      </c>
      <c r="P84" s="401" t="s">
        <v>77</v>
      </c>
      <c r="Q84" s="401" t="s">
        <v>106</v>
      </c>
      <c r="R84" s="401" t="s">
        <v>78</v>
      </c>
      <c r="S84" s="401" t="s">
        <v>61</v>
      </c>
      <c r="T84" s="401" t="s">
        <v>108</v>
      </c>
      <c r="U84" s="401" t="s">
        <v>79</v>
      </c>
      <c r="V84" s="401" t="s">
        <v>80</v>
      </c>
      <c r="W84" s="401" t="s">
        <v>81</v>
      </c>
    </row>
    <row r="85" spans="2:23" hidden="1" x14ac:dyDescent="0.2"/>
    <row r="86" spans="2:23" hidden="1" x14ac:dyDescent="0.2"/>
    <row r="87" spans="2:23" hidden="1" x14ac:dyDescent="0.2"/>
    <row r="88" spans="2:23" hidden="1" x14ac:dyDescent="0.2"/>
    <row r="89" spans="2:23" hidden="1" x14ac:dyDescent="0.2">
      <c r="B89" s="402" t="s">
        <v>56</v>
      </c>
      <c r="E89" s="402" t="s">
        <v>548</v>
      </c>
    </row>
    <row r="90" spans="2:23" hidden="1" x14ac:dyDescent="0.2"/>
    <row r="91" spans="2:23" hidden="1" x14ac:dyDescent="0.2">
      <c r="B91" s="401" t="s">
        <v>88</v>
      </c>
      <c r="E91" s="401" t="s">
        <v>549</v>
      </c>
    </row>
    <row r="92" spans="2:23" hidden="1" x14ac:dyDescent="0.2">
      <c r="B92" s="401" t="s">
        <v>384</v>
      </c>
      <c r="E92" s="401" t="s">
        <v>550</v>
      </c>
    </row>
    <row r="93" spans="2:23" hidden="1" x14ac:dyDescent="0.2">
      <c r="B93" s="401" t="s">
        <v>385</v>
      </c>
    </row>
    <row r="94" spans="2:23" hidden="1" x14ac:dyDescent="0.2">
      <c r="B94" s="401" t="s">
        <v>89</v>
      </c>
    </row>
    <row r="95" spans="2:23" hidden="1" x14ac:dyDescent="0.2">
      <c r="B95" s="401" t="s">
        <v>391</v>
      </c>
    </row>
    <row r="96" spans="2:23" hidden="1" x14ac:dyDescent="0.2"/>
    <row r="97" spans="2:3" hidden="1" x14ac:dyDescent="0.2"/>
    <row r="98" spans="2:3" hidden="1" x14ac:dyDescent="0.2">
      <c r="B98" s="402" t="s">
        <v>61</v>
      </c>
    </row>
    <row r="99" spans="2:3" hidden="1" x14ac:dyDescent="0.2">
      <c r="C99" s="442">
        <v>0</v>
      </c>
    </row>
    <row r="100" spans="2:3" hidden="1" x14ac:dyDescent="0.2">
      <c r="B100" s="427" t="s">
        <v>4</v>
      </c>
      <c r="C100" s="442">
        <v>0.05</v>
      </c>
    </row>
    <row r="101" spans="2:3" hidden="1" x14ac:dyDescent="0.2">
      <c r="B101" s="427" t="s">
        <v>5</v>
      </c>
      <c r="C101" s="442">
        <v>0.05</v>
      </c>
    </row>
    <row r="102" spans="2:3" hidden="1" x14ac:dyDescent="0.2">
      <c r="B102" s="427" t="s">
        <v>91</v>
      </c>
      <c r="C102" s="442">
        <v>0.05</v>
      </c>
    </row>
    <row r="103" spans="2:3" hidden="1" x14ac:dyDescent="0.2">
      <c r="B103" s="427" t="s">
        <v>92</v>
      </c>
      <c r="C103" s="442">
        <v>0.05</v>
      </c>
    </row>
    <row r="104" spans="2:3" hidden="1" x14ac:dyDescent="0.2">
      <c r="B104" s="427" t="s">
        <v>93</v>
      </c>
      <c r="C104" s="442">
        <v>0.13</v>
      </c>
    </row>
    <row r="105" spans="2:3" hidden="1" x14ac:dyDescent="0.2">
      <c r="B105" s="427" t="s">
        <v>94</v>
      </c>
      <c r="C105" s="442">
        <v>0.05</v>
      </c>
    </row>
    <row r="106" spans="2:3" hidden="1" x14ac:dyDescent="0.2">
      <c r="B106" s="427" t="s">
        <v>95</v>
      </c>
      <c r="C106" s="442">
        <v>0.14974999999999999</v>
      </c>
    </row>
    <row r="107" spans="2:3" hidden="1" x14ac:dyDescent="0.2">
      <c r="B107" s="427" t="s">
        <v>96</v>
      </c>
      <c r="C107" s="442">
        <v>0.05</v>
      </c>
    </row>
    <row r="108" spans="2:3" hidden="1" x14ac:dyDescent="0.2">
      <c r="B108" s="401" t="s">
        <v>97</v>
      </c>
      <c r="C108" s="442">
        <v>0</v>
      </c>
    </row>
  </sheetData>
  <mergeCells count="39">
    <mergeCell ref="D28:E28"/>
    <mergeCell ref="D41:E41"/>
    <mergeCell ref="D45:E45"/>
    <mergeCell ref="D46:E46"/>
    <mergeCell ref="D49:E49"/>
    <mergeCell ref="D42:E42"/>
    <mergeCell ref="D43:E43"/>
    <mergeCell ref="D44:E44"/>
    <mergeCell ref="D47:E47"/>
    <mergeCell ref="D48:E4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40:E40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23:E23"/>
    <mergeCell ref="D24:E24"/>
    <mergeCell ref="D25:E25"/>
    <mergeCell ref="D26:E26"/>
    <mergeCell ref="D27:E27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51">
    <cfRule type="expression" dxfId="82" priority="13" stopIfTrue="1">
      <formula>$F$51=0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51">
      <formula1>$B$99:$B$108</formula1>
    </dataValidation>
    <dataValidation type="list" allowBlank="1" showInputMessage="1" showErrorMessage="1" sqref="G16">
      <formula1>$B$90:$B$95</formula1>
    </dataValidation>
    <dataValidation type="list" allowBlank="1" showInputMessage="1" showErrorMessage="1" sqref="E1:G2">
      <formula1>$B$82:$B$84</formula1>
    </dataValidation>
    <dataValidation type="list" allowBlank="1" showInputMessage="1" showErrorMessage="1" sqref="B3">
      <formula1>$B$75:$B$78</formula1>
    </dataValidation>
    <dataValidation type="list" allowBlank="1" showInputMessage="1" showErrorMessage="1" sqref="F8">
      <formula1>$B$59:$B$73</formula1>
    </dataValidation>
    <dataValidation type="list" allowBlank="1" showInputMessage="1" showErrorMessage="1" sqref="B16:D16">
      <formula1>$E$91:$E$92</formula1>
    </dataValidation>
  </dataValidations>
  <hyperlinks>
    <hyperlink ref="F60" r:id="rId1"/>
    <hyperlink ref="F64" r:id="rId2"/>
    <hyperlink ref="F65" r:id="rId3"/>
    <hyperlink ref="F61" r:id="rId4"/>
    <hyperlink ref="F66" r:id="rId5"/>
    <hyperlink ref="F13" r:id="rId6"/>
    <hyperlink ref="F67" r:id="rId7"/>
    <hyperlink ref="F59" r:id="rId8"/>
    <hyperlink ref="F62" r:id="rId9"/>
    <hyperlink ref="F69" r:id="rId10"/>
    <hyperlink ref="F70" r:id="rId11"/>
    <hyperlink ref="F72" r:id="rId12"/>
    <hyperlink ref="F71" r:id="rId13"/>
    <hyperlink ref="F63" r:id="rId14"/>
    <hyperlink ref="F68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7"/>
  <sheetViews>
    <sheetView zoomScaleNormal="100" workbookViewId="0">
      <pane ySplit="2" topLeftCell="A171" activePane="bottomLeft" state="frozen"/>
      <selection pane="bottomLeft" activeCell="H192" sqref="H192:H193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3" t="s">
        <v>98</v>
      </c>
      <c r="D1" s="1073"/>
      <c r="E1" s="1073"/>
      <c r="F1" s="1073"/>
      <c r="G1" s="1073"/>
      <c r="H1" s="1073"/>
      <c r="I1" s="1073"/>
      <c r="J1" s="1073"/>
      <c r="K1" s="1073"/>
      <c r="L1" s="1073"/>
      <c r="M1" s="1073"/>
    </row>
    <row r="2" spans="1:15" s="173" customFormat="1" ht="12" x14ac:dyDescent="0.2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4">
        <f>SUM(G4:G12)</f>
        <v>555</v>
      </c>
    </row>
    <row r="5" spans="1:15" s="325" customFormat="1" ht="12.6" customHeight="1" x14ac:dyDescent="0.2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5"/>
    </row>
    <row r="6" spans="1:15" s="325" customFormat="1" ht="12.6" customHeight="1" x14ac:dyDescent="0.2">
      <c r="A6" s="318" t="s">
        <v>153</v>
      </c>
      <c r="B6" s="319" t="s">
        <v>426</v>
      </c>
      <c r="C6" s="320">
        <f>'Order form'!N24</f>
        <v>50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447.49999999999994</v>
      </c>
      <c r="H6" s="322">
        <v>3.3879999999999999</v>
      </c>
      <c r="I6" s="323">
        <f t="shared" ref="I6:I134" si="4">C6*H6</f>
        <v>169.4</v>
      </c>
      <c r="J6" s="323" t="s">
        <v>376</v>
      </c>
      <c r="K6" s="323">
        <v>8</v>
      </c>
      <c r="L6" s="323">
        <f t="shared" si="0"/>
        <v>6.25</v>
      </c>
      <c r="M6" s="324">
        <f t="shared" si="1"/>
        <v>27.103999999999999</v>
      </c>
      <c r="N6" s="320">
        <f t="shared" si="2"/>
        <v>1</v>
      </c>
      <c r="O6" s="1055"/>
    </row>
    <row r="7" spans="1:15" s="325" customFormat="1" ht="12.6" customHeight="1" x14ac:dyDescent="0.2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1</v>
      </c>
      <c r="O7" s="1055"/>
    </row>
    <row r="8" spans="1:15" s="325" customFormat="1" ht="12.6" customHeight="1" x14ac:dyDescent="0.2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1</v>
      </c>
      <c r="O8" s="1055"/>
    </row>
    <row r="9" spans="1:15" s="325" customFormat="1" ht="12.6" customHeight="1" x14ac:dyDescent="0.2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1</v>
      </c>
      <c r="O9" s="1055"/>
    </row>
    <row r="10" spans="1:15" s="325" customFormat="1" x14ac:dyDescent="0.2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1</v>
      </c>
      <c r="O10" s="1055"/>
    </row>
    <row r="11" spans="1:15" s="325" customFormat="1" x14ac:dyDescent="0.2">
      <c r="A11" s="318" t="s">
        <v>153</v>
      </c>
      <c r="B11" s="319" t="s">
        <v>426</v>
      </c>
      <c r="C11" s="320">
        <f>'Order form'!N29</f>
        <v>10</v>
      </c>
      <c r="D11" s="320" t="str">
        <f>'Order form'!D29</f>
        <v>EP-96-ST</v>
      </c>
      <c r="E11" s="320" t="s">
        <v>696</v>
      </c>
      <c r="F11" s="321">
        <f>'Order form'!L29</f>
        <v>10.75</v>
      </c>
      <c r="G11" s="321">
        <f t="shared" si="3"/>
        <v>107.5</v>
      </c>
      <c r="H11" s="322">
        <v>2.508</v>
      </c>
      <c r="I11" s="323">
        <f t="shared" si="4"/>
        <v>25.08</v>
      </c>
      <c r="J11" s="323" t="s">
        <v>376</v>
      </c>
      <c r="K11" s="323">
        <v>6</v>
      </c>
      <c r="L11" s="323">
        <f t="shared" si="0"/>
        <v>1.6666666666666667</v>
      </c>
      <c r="M11" s="324">
        <f t="shared" si="1"/>
        <v>15.048</v>
      </c>
      <c r="N11" s="320">
        <f t="shared" si="2"/>
        <v>2</v>
      </c>
      <c r="O11" s="1055"/>
    </row>
    <row r="12" spans="1:15" s="325" customFormat="1" x14ac:dyDescent="0.2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2</v>
      </c>
      <c r="O12" s="1056"/>
    </row>
    <row r="13" spans="1:15" ht="12.6" customHeight="1" x14ac:dyDescent="0.2">
      <c r="A13" s="506" t="s">
        <v>153</v>
      </c>
      <c r="B13" s="196" t="s">
        <v>158</v>
      </c>
      <c r="C13" s="508">
        <f>'Order form'!F42</f>
        <v>30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720</v>
      </c>
      <c r="H13" s="189">
        <v>5.984</v>
      </c>
      <c r="I13" s="190">
        <f t="shared" si="4"/>
        <v>179.52</v>
      </c>
      <c r="J13" s="190" t="s">
        <v>376</v>
      </c>
      <c r="K13" s="190">
        <f>'Order form'!G43</f>
        <v>6</v>
      </c>
      <c r="L13" s="190">
        <f t="shared" si="0"/>
        <v>5</v>
      </c>
      <c r="M13" s="195">
        <f t="shared" si="1"/>
        <v>35.903999999999996</v>
      </c>
      <c r="N13" s="320">
        <f t="shared" si="2"/>
        <v>3</v>
      </c>
      <c r="O13" s="1057">
        <f>SUM(G13:G27)</f>
        <v>984.1</v>
      </c>
    </row>
    <row r="14" spans="1:15" x14ac:dyDescent="0.2">
      <c r="A14" s="506" t="s">
        <v>153</v>
      </c>
      <c r="B14" s="196" t="s">
        <v>158</v>
      </c>
      <c r="C14" s="508">
        <f>'Order form'!K42</f>
        <v>42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65.100000000000009</v>
      </c>
      <c r="H14" s="189">
        <v>0.34100000000000003</v>
      </c>
      <c r="I14" s="190">
        <f t="shared" si="4"/>
        <v>14.322000000000001</v>
      </c>
      <c r="J14" s="190" t="s">
        <v>22</v>
      </c>
      <c r="K14" s="190">
        <f>'Order form'!L43</f>
        <v>30</v>
      </c>
      <c r="L14" s="190">
        <f t="shared" si="0"/>
        <v>1.4</v>
      </c>
      <c r="M14" s="195">
        <f t="shared" si="1"/>
        <v>10.23</v>
      </c>
      <c r="N14" s="320">
        <f t="shared" si="2"/>
        <v>4</v>
      </c>
      <c r="O14" s="1071"/>
    </row>
    <row r="15" spans="1:15" x14ac:dyDescent="0.2">
      <c r="A15" s="506" t="s">
        <v>153</v>
      </c>
      <c r="B15" s="196" t="s">
        <v>158</v>
      </c>
      <c r="C15" s="508">
        <f>'Order form'!P42</f>
        <v>4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7.6</v>
      </c>
      <c r="H15" s="189">
        <v>0.44</v>
      </c>
      <c r="I15" s="190">
        <f t="shared" si="4"/>
        <v>1.76</v>
      </c>
      <c r="J15" s="190" t="s">
        <v>22</v>
      </c>
      <c r="K15" s="190">
        <f>'Order form'!Q43</f>
        <v>30</v>
      </c>
      <c r="L15" s="190">
        <f t="shared" si="0"/>
        <v>0.13333333333333333</v>
      </c>
      <c r="M15" s="195">
        <f t="shared" si="1"/>
        <v>13.2</v>
      </c>
      <c r="N15" s="320">
        <f t="shared" si="2"/>
        <v>5</v>
      </c>
      <c r="O15" s="1071"/>
    </row>
    <row r="16" spans="1:15" x14ac:dyDescent="0.2">
      <c r="A16" s="506" t="s">
        <v>153</v>
      </c>
      <c r="B16" s="196" t="s">
        <v>158</v>
      </c>
      <c r="C16" s="508">
        <f>'Order form'!F52</f>
        <v>6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18</v>
      </c>
      <c r="H16" s="189">
        <v>0.60499999999999998</v>
      </c>
      <c r="I16" s="190">
        <f t="shared" si="4"/>
        <v>3.63</v>
      </c>
      <c r="J16" s="190" t="s">
        <v>22</v>
      </c>
      <c r="K16" s="190">
        <f>'Order form'!G53</f>
        <v>20</v>
      </c>
      <c r="L16" s="190">
        <f t="shared" si="0"/>
        <v>0.3</v>
      </c>
      <c r="M16" s="195">
        <f t="shared" si="1"/>
        <v>12.1</v>
      </c>
      <c r="N16" s="320">
        <f t="shared" si="2"/>
        <v>6</v>
      </c>
      <c r="O16" s="1071"/>
    </row>
    <row r="17" spans="1:31" x14ac:dyDescent="0.2">
      <c r="A17" s="506" t="s">
        <v>153</v>
      </c>
      <c r="B17" s="196" t="s">
        <v>158</v>
      </c>
      <c r="C17" s="508">
        <f>'Order form'!U42</f>
        <v>42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71.399999999999991</v>
      </c>
      <c r="H17" s="189">
        <v>0.40150000000000002</v>
      </c>
      <c r="I17" s="190">
        <f t="shared" si="4"/>
        <v>16.863</v>
      </c>
      <c r="J17" s="190" t="s">
        <v>22</v>
      </c>
      <c r="K17" s="190">
        <f>'Order form'!V43</f>
        <v>25</v>
      </c>
      <c r="L17" s="190">
        <f t="shared" si="0"/>
        <v>1.68</v>
      </c>
      <c r="M17" s="195">
        <f t="shared" si="1"/>
        <v>10.037500000000001</v>
      </c>
      <c r="N17" s="320">
        <f t="shared" si="2"/>
        <v>7</v>
      </c>
      <c r="O17" s="1071"/>
    </row>
    <row r="18" spans="1:31" x14ac:dyDescent="0.2">
      <c r="A18" s="506" t="s">
        <v>153</v>
      </c>
      <c r="B18" s="196" t="s">
        <v>158</v>
      </c>
      <c r="C18" s="508">
        <f>'Order form'!Z42</f>
        <v>4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12</v>
      </c>
      <c r="H18" s="189">
        <v>0.34100000000000003</v>
      </c>
      <c r="I18" s="190">
        <f t="shared" si="4"/>
        <v>1.3640000000000001</v>
      </c>
      <c r="J18" s="190" t="s">
        <v>22</v>
      </c>
      <c r="K18" s="190">
        <f>'Order form'!AA43</f>
        <v>40</v>
      </c>
      <c r="L18" s="190">
        <f t="shared" si="0"/>
        <v>0.1</v>
      </c>
      <c r="M18" s="195">
        <f t="shared" si="1"/>
        <v>13.64</v>
      </c>
      <c r="N18" s="320">
        <f t="shared" si="2"/>
        <v>8</v>
      </c>
      <c r="O18" s="1071"/>
    </row>
    <row r="19" spans="1:31" x14ac:dyDescent="0.2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8</v>
      </c>
      <c r="O19" s="1071"/>
    </row>
    <row r="20" spans="1:31" x14ac:dyDescent="0.2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8</v>
      </c>
      <c r="O20" s="1071"/>
    </row>
    <row r="21" spans="1:31" x14ac:dyDescent="0.2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8</v>
      </c>
      <c r="O21" s="1071"/>
    </row>
    <row r="22" spans="1:31" x14ac:dyDescent="0.2">
      <c r="A22" s="506" t="s">
        <v>153</v>
      </c>
      <c r="B22" s="196" t="s">
        <v>158</v>
      </c>
      <c r="C22" s="508">
        <f>'Order form'!Z52</f>
        <v>4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90</v>
      </c>
      <c r="H22" s="189">
        <v>6.1379999999999999</v>
      </c>
      <c r="I22" s="190">
        <f t="shared" si="4"/>
        <v>24.552</v>
      </c>
      <c r="J22" s="190" t="s">
        <v>376</v>
      </c>
      <c r="K22" s="190">
        <f>'Order form'!AA53</f>
        <v>6</v>
      </c>
      <c r="L22" s="190">
        <f t="shared" si="0"/>
        <v>0.66666666666666663</v>
      </c>
      <c r="M22" s="195">
        <f t="shared" si="1"/>
        <v>36.828000000000003</v>
      </c>
      <c r="N22" s="320">
        <f t="shared" si="2"/>
        <v>9</v>
      </c>
      <c r="O22" s="1071"/>
    </row>
    <row r="23" spans="1:31" x14ac:dyDescent="0.2">
      <c r="A23" s="506" t="s">
        <v>153</v>
      </c>
      <c r="B23" s="196" t="s">
        <v>158</v>
      </c>
      <c r="C23" s="508">
        <f>'Order form'!F62</f>
        <v>0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320">
        <f t="shared" si="2"/>
        <v>9</v>
      </c>
      <c r="O23" s="1071"/>
    </row>
    <row r="24" spans="1:31" x14ac:dyDescent="0.2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9</v>
      </c>
      <c r="O24" s="1071"/>
    </row>
    <row r="25" spans="1:31" x14ac:dyDescent="0.2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9</v>
      </c>
      <c r="O25" s="1071"/>
    </row>
    <row r="26" spans="1:31" x14ac:dyDescent="0.2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9</v>
      </c>
      <c r="O26" s="1071"/>
    </row>
    <row r="27" spans="1:31" x14ac:dyDescent="0.2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R85-DS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9</v>
      </c>
      <c r="O27" s="1072"/>
    </row>
    <row r="28" spans="1:31" s="325" customFormat="1" ht="12.6" customHeight="1" x14ac:dyDescent="0.2">
      <c r="A28" s="318" t="s">
        <v>153</v>
      </c>
      <c r="B28" s="319" t="s">
        <v>156</v>
      </c>
      <c r="C28" s="320">
        <f>'Order form'!F141*2+'Order form'!F87</f>
        <v>180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99.000000000000014</v>
      </c>
      <c r="H28" s="322">
        <v>0.1474</v>
      </c>
      <c r="I28" s="323">
        <f t="shared" si="4"/>
        <v>26.532</v>
      </c>
      <c r="J28" s="323" t="s">
        <v>22</v>
      </c>
      <c r="K28" s="323">
        <f>'Order form'!G88</f>
        <v>225</v>
      </c>
      <c r="L28" s="323">
        <f t="shared" si="0"/>
        <v>0.8</v>
      </c>
      <c r="M28" s="324">
        <f t="shared" si="1"/>
        <v>33.164999999999999</v>
      </c>
      <c r="N28" s="320">
        <f>IF(C28=0,N22,N22+1)</f>
        <v>10</v>
      </c>
      <c r="O28" s="1067">
        <f>SUM(G28:G50)</f>
        <v>298.38000000000005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" customHeight="1" x14ac:dyDescent="0.2">
      <c r="A29" s="318" t="s">
        <v>153</v>
      </c>
      <c r="B29" s="319" t="s">
        <v>156</v>
      </c>
      <c r="C29" s="320">
        <f>'Order form'!K87+('Order form'!K141*1)+('Order form'!P141*2)+('Order form'!Z141*4)</f>
        <v>20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18</v>
      </c>
      <c r="H29" s="322">
        <v>0.20680000000000001</v>
      </c>
      <c r="I29" s="323">
        <f t="shared" si="4"/>
        <v>4.1360000000000001</v>
      </c>
      <c r="J29" s="323" t="s">
        <v>22</v>
      </c>
      <c r="K29" s="323">
        <f>'Order form'!L88</f>
        <v>150</v>
      </c>
      <c r="L29" s="323">
        <f t="shared" si="0"/>
        <v>0.13333333333333333</v>
      </c>
      <c r="M29" s="324">
        <f t="shared" si="1"/>
        <v>31.020000000000003</v>
      </c>
      <c r="N29" s="320">
        <f t="shared" si="2"/>
        <v>11</v>
      </c>
      <c r="O29" s="1070"/>
    </row>
    <row r="30" spans="1:31" s="325" customFormat="1" ht="12.4" customHeight="1" x14ac:dyDescent="0.2">
      <c r="A30" s="318" t="s">
        <v>153</v>
      </c>
      <c r="B30" s="319" t="s">
        <v>156</v>
      </c>
      <c r="C30" s="320">
        <f>'Order form'!P87+('Order form'!K141*1)</f>
        <v>16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15.2</v>
      </c>
      <c r="H30" s="322">
        <v>0.26400000000000001</v>
      </c>
      <c r="I30" s="323">
        <f t="shared" si="4"/>
        <v>4.2240000000000002</v>
      </c>
      <c r="J30" s="323" t="s">
        <v>22</v>
      </c>
      <c r="K30" s="323">
        <f>'Order form'!Q88</f>
        <v>60</v>
      </c>
      <c r="L30" s="323">
        <f t="shared" si="0"/>
        <v>0.26666666666666666</v>
      </c>
      <c r="M30" s="324">
        <f t="shared" si="1"/>
        <v>15.84</v>
      </c>
      <c r="N30" s="320">
        <f t="shared" si="2"/>
        <v>12</v>
      </c>
      <c r="O30" s="1070"/>
    </row>
    <row r="31" spans="1:31" s="325" customFormat="1" ht="12.4" customHeight="1" x14ac:dyDescent="0.2">
      <c r="A31" s="318" t="s">
        <v>153</v>
      </c>
      <c r="B31" s="319" t="s">
        <v>156</v>
      </c>
      <c r="C31" s="320">
        <f>'Order form'!U87+('Order form'!P141*1)+('Order form'!U141*2)</f>
        <v>34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28.9</v>
      </c>
      <c r="H31" s="322">
        <v>0.23320000000000002</v>
      </c>
      <c r="I31" s="323">
        <f t="shared" si="4"/>
        <v>7.9288000000000007</v>
      </c>
      <c r="J31" s="323" t="s">
        <v>22</v>
      </c>
      <c r="K31" s="323">
        <f>'Order form'!V88</f>
        <v>150</v>
      </c>
      <c r="L31" s="323">
        <f t="shared" si="0"/>
        <v>0.22666666666666666</v>
      </c>
      <c r="M31" s="324">
        <f t="shared" si="1"/>
        <v>34.980000000000004</v>
      </c>
      <c r="N31" s="320">
        <f t="shared" si="2"/>
        <v>13</v>
      </c>
      <c r="O31" s="1070"/>
    </row>
    <row r="32" spans="1:31" s="325" customFormat="1" ht="12.4" customHeight="1" x14ac:dyDescent="0.2">
      <c r="A32" s="318" t="s">
        <v>153</v>
      </c>
      <c r="B32" s="319" t="s">
        <v>156</v>
      </c>
      <c r="C32" s="320">
        <f>'Order form'!Z87+('Order form'!F152*2)</f>
        <v>0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0</v>
      </c>
      <c r="H32" s="322">
        <v>9.9000000000000005E-2</v>
      </c>
      <c r="I32" s="323">
        <f t="shared" si="4"/>
        <v>0</v>
      </c>
      <c r="J32" s="323" t="s">
        <v>22</v>
      </c>
      <c r="K32" s="323">
        <f>'Order form'!AA88</f>
        <v>225</v>
      </c>
      <c r="L32" s="323">
        <f t="shared" si="0"/>
        <v>0</v>
      </c>
      <c r="M32" s="324">
        <f t="shared" si="1"/>
        <v>22.275000000000002</v>
      </c>
      <c r="N32" s="320">
        <f t="shared" si="2"/>
        <v>13</v>
      </c>
      <c r="O32" s="1070"/>
    </row>
    <row r="33" spans="1:15" s="325" customFormat="1" ht="12.4" customHeight="1" x14ac:dyDescent="0.2">
      <c r="A33" s="318" t="s">
        <v>153</v>
      </c>
      <c r="B33" s="319" t="s">
        <v>156</v>
      </c>
      <c r="C33" s="320">
        <f>'Order form'!F97+('Order form'!F152*2)+('Order form'!K152*2)+('Order form'!U163*4)</f>
        <v>0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0</v>
      </c>
      <c r="H33" s="322">
        <v>0.1298</v>
      </c>
      <c r="I33" s="323">
        <f t="shared" si="4"/>
        <v>0</v>
      </c>
      <c r="J33" s="323" t="s">
        <v>22</v>
      </c>
      <c r="K33" s="323">
        <f>'Order form'!G98</f>
        <v>225</v>
      </c>
      <c r="L33" s="323">
        <f t="shared" si="0"/>
        <v>0</v>
      </c>
      <c r="M33" s="324">
        <f t="shared" si="1"/>
        <v>29.204999999999998</v>
      </c>
      <c r="N33" s="320">
        <f t="shared" si="2"/>
        <v>13</v>
      </c>
      <c r="O33" s="1070"/>
    </row>
    <row r="34" spans="1:15" s="325" customFormat="1" ht="12.4" customHeight="1" x14ac:dyDescent="0.2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13</v>
      </c>
      <c r="O34" s="1070"/>
    </row>
    <row r="35" spans="1:15" s="325" customFormat="1" ht="12.4" customHeight="1" x14ac:dyDescent="0.2">
      <c r="A35" s="318" t="s">
        <v>153</v>
      </c>
      <c r="B35" s="319" t="s">
        <v>156</v>
      </c>
      <c r="C35" s="320">
        <f>'Order form'!P97+('Order form'!P152*2)</f>
        <v>16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8.8000000000000007</v>
      </c>
      <c r="H35" s="322">
        <v>0.10560000000000001</v>
      </c>
      <c r="I35" s="323">
        <f t="shared" si="4"/>
        <v>1.6896000000000002</v>
      </c>
      <c r="J35" s="323" t="s">
        <v>22</v>
      </c>
      <c r="K35" s="323">
        <f>'Order form'!Q98</f>
        <v>150</v>
      </c>
      <c r="L35" s="323">
        <f t="shared" si="0"/>
        <v>0.10666666666666667</v>
      </c>
      <c r="M35" s="324">
        <f t="shared" si="1"/>
        <v>15.840000000000002</v>
      </c>
      <c r="N35" s="320">
        <f t="shared" si="2"/>
        <v>14</v>
      </c>
      <c r="O35" s="1070"/>
    </row>
    <row r="36" spans="1:15" s="325" customFormat="1" ht="12.4" customHeight="1" x14ac:dyDescent="0.2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14</v>
      </c>
      <c r="O36" s="1070"/>
    </row>
    <row r="37" spans="1:15" s="325" customFormat="1" ht="12.4" customHeight="1" x14ac:dyDescent="0.2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14</v>
      </c>
      <c r="O37" s="1070"/>
    </row>
    <row r="38" spans="1:15" s="325" customFormat="1" ht="12.4" customHeight="1" x14ac:dyDescent="0.2">
      <c r="A38" s="318" t="s">
        <v>153</v>
      </c>
      <c r="B38" s="319" t="s">
        <v>156</v>
      </c>
      <c r="C38" s="320">
        <f>'Order form'!F107+('Order form'!Z152*1)+('Order form'!F163*2)</f>
        <v>0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0</v>
      </c>
      <c r="H38" s="322">
        <v>0.13640000000000002</v>
      </c>
      <c r="I38" s="323">
        <f t="shared" si="4"/>
        <v>0</v>
      </c>
      <c r="J38" s="323" t="s">
        <v>22</v>
      </c>
      <c r="K38" s="323">
        <f>'Order form'!G108</f>
        <v>245</v>
      </c>
      <c r="L38" s="323">
        <f t="shared" si="0"/>
        <v>0</v>
      </c>
      <c r="M38" s="324">
        <f t="shared" si="1"/>
        <v>33.418000000000006</v>
      </c>
      <c r="N38" s="320">
        <f t="shared" si="2"/>
        <v>14</v>
      </c>
      <c r="O38" s="1070"/>
    </row>
    <row r="39" spans="1:15" s="325" customFormat="1" ht="12.4" customHeight="1" x14ac:dyDescent="0.2">
      <c r="A39" s="318" t="s">
        <v>153</v>
      </c>
      <c r="B39" s="319" t="s">
        <v>156</v>
      </c>
      <c r="C39" s="320">
        <f>'Order form'!K107+('Order form'!K163*2)</f>
        <v>0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0</v>
      </c>
      <c r="H39" s="322">
        <v>0.1386</v>
      </c>
      <c r="I39" s="323">
        <f t="shared" si="4"/>
        <v>0</v>
      </c>
      <c r="J39" s="323" t="s">
        <v>22</v>
      </c>
      <c r="K39" s="323">
        <f>'Order form'!L108</f>
        <v>180</v>
      </c>
      <c r="L39" s="323">
        <f t="shared" si="0"/>
        <v>0</v>
      </c>
      <c r="M39" s="324">
        <f t="shared" si="1"/>
        <v>24.948</v>
      </c>
      <c r="N39" s="320">
        <f t="shared" si="2"/>
        <v>14</v>
      </c>
      <c r="O39" s="1070"/>
    </row>
    <row r="40" spans="1:15" s="325" customFormat="1" ht="12.4" customHeight="1" x14ac:dyDescent="0.2">
      <c r="A40" s="318" t="s">
        <v>153</v>
      </c>
      <c r="B40" s="319" t="s">
        <v>156</v>
      </c>
      <c r="C40" s="320">
        <f>'Order form'!P107+('Order form'!P163*2)</f>
        <v>32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18.88</v>
      </c>
      <c r="H40" s="322">
        <v>0.11660000000000001</v>
      </c>
      <c r="I40" s="323">
        <f t="shared" si="4"/>
        <v>3.7312000000000003</v>
      </c>
      <c r="J40" s="323" t="s">
        <v>22</v>
      </c>
      <c r="K40" s="323">
        <f>'Order form'!Q108</f>
        <v>225</v>
      </c>
      <c r="L40" s="323">
        <f t="shared" si="0"/>
        <v>0.14222222222222222</v>
      </c>
      <c r="M40" s="324">
        <f t="shared" si="1"/>
        <v>26.235000000000003</v>
      </c>
      <c r="N40" s="320">
        <f t="shared" si="2"/>
        <v>15</v>
      </c>
      <c r="O40" s="1070"/>
    </row>
    <row r="41" spans="1:15" s="325" customFormat="1" ht="12.4" customHeight="1" x14ac:dyDescent="0.2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15</v>
      </c>
      <c r="O41" s="1070"/>
    </row>
    <row r="42" spans="1:15" s="325" customFormat="1" ht="12.4" customHeight="1" x14ac:dyDescent="0.2">
      <c r="A42" s="318" t="s">
        <v>153</v>
      </c>
      <c r="B42" s="319" t="s">
        <v>156</v>
      </c>
      <c r="C42" s="320">
        <f>'Order form'!Z107+('Order form'!Z163*1)</f>
        <v>0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0</v>
      </c>
      <c r="H42" s="322">
        <v>8.3600000000000008E-2</v>
      </c>
      <c r="I42" s="323">
        <f t="shared" si="4"/>
        <v>0</v>
      </c>
      <c r="J42" s="323" t="s">
        <v>22</v>
      </c>
      <c r="K42" s="323">
        <f>'Order form'!AA108</f>
        <v>300</v>
      </c>
      <c r="L42" s="323">
        <f t="shared" si="0"/>
        <v>0</v>
      </c>
      <c r="M42" s="324">
        <f t="shared" si="1"/>
        <v>25.080000000000002</v>
      </c>
      <c r="N42" s="320">
        <f t="shared" si="2"/>
        <v>15</v>
      </c>
      <c r="O42" s="1070"/>
    </row>
    <row r="43" spans="1:15" s="325" customFormat="1" ht="12.4" customHeight="1" x14ac:dyDescent="0.2">
      <c r="A43" s="318" t="s">
        <v>153</v>
      </c>
      <c r="B43" s="319" t="s">
        <v>156</v>
      </c>
      <c r="C43" s="320">
        <f>'Order form'!F117+('Order form'!Z163*1)</f>
        <v>0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0</v>
      </c>
      <c r="H43" s="322">
        <v>0.10120000000000001</v>
      </c>
      <c r="I43" s="323">
        <f t="shared" si="4"/>
        <v>0</v>
      </c>
      <c r="J43" s="323" t="s">
        <v>22</v>
      </c>
      <c r="K43" s="323">
        <f>'Order form'!G118</f>
        <v>300</v>
      </c>
      <c r="L43" s="323">
        <f t="shared" si="0"/>
        <v>0</v>
      </c>
      <c r="M43" s="324">
        <f t="shared" si="1"/>
        <v>30.360000000000003</v>
      </c>
      <c r="N43" s="320">
        <f t="shared" si="2"/>
        <v>15</v>
      </c>
      <c r="O43" s="1070"/>
    </row>
    <row r="44" spans="1:15" s="325" customFormat="1" ht="12" customHeight="1" x14ac:dyDescent="0.2">
      <c r="A44" s="318" t="s">
        <v>153</v>
      </c>
      <c r="B44" s="319" t="s">
        <v>156</v>
      </c>
      <c r="C44" s="320">
        <f>'Order form'!K117+('Order form'!F174*1)</f>
        <v>16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12.8</v>
      </c>
      <c r="H44" s="322">
        <v>0.15180000000000002</v>
      </c>
      <c r="I44" s="323">
        <f t="shared" si="4"/>
        <v>2.4288000000000003</v>
      </c>
      <c r="J44" s="323" t="s">
        <v>22</v>
      </c>
      <c r="K44" s="323">
        <f>'Order form'!L118</f>
        <v>145</v>
      </c>
      <c r="L44" s="323">
        <f t="shared" si="0"/>
        <v>0.1103448275862069</v>
      </c>
      <c r="M44" s="324">
        <f t="shared" si="1"/>
        <v>22.011000000000003</v>
      </c>
      <c r="N44" s="320">
        <f t="shared" si="2"/>
        <v>16</v>
      </c>
      <c r="O44" s="1070"/>
    </row>
    <row r="45" spans="1:15" s="325" customFormat="1" ht="12" customHeight="1" x14ac:dyDescent="0.2">
      <c r="A45" s="318" t="s">
        <v>153</v>
      </c>
      <c r="B45" s="319" t="s">
        <v>156</v>
      </c>
      <c r="C45" s="320">
        <f>'Order form'!P117+('Order form'!F174*1)</f>
        <v>16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12.8</v>
      </c>
      <c r="H45" s="322">
        <v>0.15180000000000002</v>
      </c>
      <c r="I45" s="323">
        <f t="shared" si="4"/>
        <v>2.4288000000000003</v>
      </c>
      <c r="J45" s="323" t="s">
        <v>22</v>
      </c>
      <c r="K45" s="323">
        <f>'Order form'!Q118</f>
        <v>145</v>
      </c>
      <c r="L45" s="323">
        <f t="shared" si="0"/>
        <v>0.1103448275862069</v>
      </c>
      <c r="M45" s="324">
        <f t="shared" si="1"/>
        <v>22.011000000000003</v>
      </c>
      <c r="N45" s="320">
        <f t="shared" si="2"/>
        <v>17</v>
      </c>
      <c r="O45" s="1070"/>
    </row>
    <row r="46" spans="1:15" s="325" customFormat="1" ht="12" customHeight="1" x14ac:dyDescent="0.2">
      <c r="A46" s="318" t="s">
        <v>153</v>
      </c>
      <c r="B46" s="319" t="s">
        <v>156</v>
      </c>
      <c r="C46" s="320">
        <f>'Order form'!U117+('Order form'!K174*2)</f>
        <v>0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0</v>
      </c>
      <c r="H46" s="322">
        <v>0.13640000000000002</v>
      </c>
      <c r="I46" s="323">
        <f t="shared" si="4"/>
        <v>0</v>
      </c>
      <c r="J46" s="323" t="s">
        <v>22</v>
      </c>
      <c r="K46" s="323">
        <f>'Order form'!V118</f>
        <v>120</v>
      </c>
      <c r="L46" s="323">
        <f t="shared" si="0"/>
        <v>0</v>
      </c>
      <c r="M46" s="324">
        <f t="shared" si="1"/>
        <v>16.368000000000002</v>
      </c>
      <c r="N46" s="320">
        <f t="shared" si="2"/>
        <v>17</v>
      </c>
      <c r="O46" s="1070"/>
    </row>
    <row r="47" spans="1:15" s="325" customFormat="1" ht="12" customHeight="1" x14ac:dyDescent="0.2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17</v>
      </c>
      <c r="O47" s="1070"/>
    </row>
    <row r="48" spans="1:15" s="325" customFormat="1" ht="12" customHeight="1" x14ac:dyDescent="0.2">
      <c r="A48" s="318" t="s">
        <v>153</v>
      </c>
      <c r="B48" s="319" t="s">
        <v>156</v>
      </c>
      <c r="C48" s="320">
        <f>'Order form'!F127+('Order form'!U174*2)</f>
        <v>0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0</v>
      </c>
      <c r="H48" s="322">
        <v>0.28160000000000002</v>
      </c>
      <c r="I48" s="323">
        <f>C48*H48</f>
        <v>0</v>
      </c>
      <c r="J48" s="323" t="s">
        <v>22</v>
      </c>
      <c r="K48" s="323">
        <f>'Order form'!G128</f>
        <v>100</v>
      </c>
      <c r="L48" s="323">
        <f t="shared" si="0"/>
        <v>0</v>
      </c>
      <c r="M48" s="324">
        <f t="shared" si="1"/>
        <v>28.16</v>
      </c>
      <c r="N48" s="320">
        <f t="shared" si="2"/>
        <v>17</v>
      </c>
      <c r="O48" s="1070"/>
    </row>
    <row r="49" spans="1:15" s="325" customFormat="1" ht="12" customHeight="1" x14ac:dyDescent="0.2">
      <c r="A49" s="318" t="s">
        <v>153</v>
      </c>
      <c r="B49" s="319" t="s">
        <v>156</v>
      </c>
      <c r="C49" s="320">
        <f>'Order form'!K127</f>
        <v>24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40.799999999999997</v>
      </c>
      <c r="H49" s="322">
        <v>0.31900000000000001</v>
      </c>
      <c r="I49" s="323">
        <f>C49*H49</f>
        <v>7.6560000000000006</v>
      </c>
      <c r="J49" s="323" t="s">
        <v>22</v>
      </c>
      <c r="K49" s="323">
        <f>'Order form'!L128</f>
        <v>72</v>
      </c>
      <c r="L49" s="323">
        <f t="shared" si="0"/>
        <v>0.33333333333333331</v>
      </c>
      <c r="M49" s="324">
        <f t="shared" si="1"/>
        <v>22.968</v>
      </c>
      <c r="N49" s="320">
        <f t="shared" si="2"/>
        <v>18</v>
      </c>
      <c r="O49" s="1070"/>
    </row>
    <row r="50" spans="1:15" s="325" customFormat="1" ht="12" customHeight="1" x14ac:dyDescent="0.2">
      <c r="A50" s="318" t="s">
        <v>153</v>
      </c>
      <c r="B50" s="319" t="s">
        <v>156</v>
      </c>
      <c r="C50" s="320">
        <f>'Order form'!P127</f>
        <v>24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43.2</v>
      </c>
      <c r="H50" s="528">
        <v>0.315</v>
      </c>
      <c r="I50" s="323">
        <f>C50*H50</f>
        <v>7.5600000000000005</v>
      </c>
      <c r="J50" s="323" t="s">
        <v>22</v>
      </c>
      <c r="K50" s="323">
        <f>'Order form'!Q128</f>
        <v>60</v>
      </c>
      <c r="L50" s="323">
        <f t="shared" si="0"/>
        <v>0.4</v>
      </c>
      <c r="M50" s="324">
        <f t="shared" si="1"/>
        <v>18.899999999999999</v>
      </c>
      <c r="N50" s="320">
        <f t="shared" si="2"/>
        <v>19</v>
      </c>
      <c r="O50" s="1070"/>
    </row>
    <row r="51" spans="1:15" s="219" customFormat="1" ht="12" customHeight="1" x14ac:dyDescent="0.2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18</v>
      </c>
      <c r="O51" s="516"/>
    </row>
    <row r="52" spans="1:15" s="219" customFormat="1" ht="12" customHeight="1" x14ac:dyDescent="0.2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18</v>
      </c>
      <c r="O52" s="516"/>
    </row>
    <row r="53" spans="1:15" s="219" customFormat="1" ht="12" customHeight="1" x14ac:dyDescent="0.2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18</v>
      </c>
      <c r="O53" s="516"/>
    </row>
    <row r="54" spans="1:15" s="219" customFormat="1" ht="12" customHeight="1" x14ac:dyDescent="0.2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18</v>
      </c>
      <c r="O54" s="516"/>
    </row>
    <row r="55" spans="1:15" s="219" customFormat="1" ht="12" customHeight="1" x14ac:dyDescent="0.2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18</v>
      </c>
      <c r="O55" s="516"/>
    </row>
    <row r="56" spans="1:15" s="219" customFormat="1" ht="12" customHeight="1" x14ac:dyDescent="0.2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18</v>
      </c>
      <c r="O56" s="516"/>
    </row>
    <row r="57" spans="1:15" s="219" customFormat="1" ht="12" customHeight="1" x14ac:dyDescent="0.2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18</v>
      </c>
      <c r="O57" s="516"/>
    </row>
    <row r="58" spans="1:15" s="219" customFormat="1" ht="12" customHeight="1" x14ac:dyDescent="0.2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18</v>
      </c>
      <c r="O58" s="516"/>
    </row>
    <row r="59" spans="1:15" s="219" customFormat="1" ht="12" customHeight="1" x14ac:dyDescent="0.2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18</v>
      </c>
      <c r="O59" s="516"/>
    </row>
    <row r="60" spans="1:15" s="219" customFormat="1" ht="12" customHeight="1" x14ac:dyDescent="0.2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18</v>
      </c>
      <c r="O60" s="516"/>
    </row>
    <row r="61" spans="1:15" s="219" customFormat="1" ht="12" customHeight="1" x14ac:dyDescent="0.2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18</v>
      </c>
      <c r="O61" s="516"/>
    </row>
    <row r="62" spans="1:15" s="219" customFormat="1" ht="12" customHeight="1" x14ac:dyDescent="0.2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18</v>
      </c>
      <c r="O62" s="516"/>
    </row>
    <row r="63" spans="1:15" s="219" customFormat="1" ht="12" customHeight="1" x14ac:dyDescent="0.2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18</v>
      </c>
      <c r="O63" s="516"/>
    </row>
    <row r="64" spans="1:15" s="219" customFormat="1" ht="12" customHeight="1" x14ac:dyDescent="0.2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18</v>
      </c>
      <c r="O64" s="516"/>
    </row>
    <row r="65" spans="1:15" s="219" customFormat="1" ht="12" customHeight="1" x14ac:dyDescent="0.2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18</v>
      </c>
      <c r="O65" s="516"/>
    </row>
    <row r="66" spans="1:15" s="219" customFormat="1" ht="12" customHeight="1" x14ac:dyDescent="0.2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18</v>
      </c>
      <c r="O66" s="516"/>
    </row>
    <row r="67" spans="1:15" s="219" customFormat="1" ht="12" customHeight="1" x14ac:dyDescent="0.2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18</v>
      </c>
      <c r="O67" s="516"/>
    </row>
    <row r="68" spans="1:15" s="219" customFormat="1" ht="12" customHeight="1" x14ac:dyDescent="0.2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18</v>
      </c>
      <c r="O68" s="517"/>
    </row>
    <row r="69" spans="1:15" s="219" customFormat="1" ht="12" customHeight="1" x14ac:dyDescent="0.2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18</v>
      </c>
      <c r="O69" s="517"/>
    </row>
    <row r="70" spans="1:15" s="325" customFormat="1" ht="12" customHeight="1" x14ac:dyDescent="0.2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18</v>
      </c>
      <c r="O70" s="1065"/>
    </row>
    <row r="71" spans="1:15" s="325" customFormat="1" ht="12" customHeight="1" x14ac:dyDescent="0.2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18</v>
      </c>
      <c r="O71" s="1065"/>
    </row>
    <row r="72" spans="1:15" s="325" customFormat="1" ht="12" customHeight="1" x14ac:dyDescent="0.2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18</v>
      </c>
      <c r="O72" s="1065"/>
    </row>
    <row r="73" spans="1:15" s="325" customFormat="1" ht="12" customHeight="1" x14ac:dyDescent="0.2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18</v>
      </c>
      <c r="O73" s="1065"/>
    </row>
    <row r="74" spans="1:15" s="325" customFormat="1" ht="12" customHeight="1" x14ac:dyDescent="0.2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18</v>
      </c>
      <c r="O74" s="1065"/>
    </row>
    <row r="75" spans="1:15" s="325" customFormat="1" ht="12" customHeight="1" x14ac:dyDescent="0.2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18</v>
      </c>
      <c r="O75" s="1065"/>
    </row>
    <row r="76" spans="1:15" s="325" customFormat="1" ht="12" customHeight="1" x14ac:dyDescent="0.2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18</v>
      </c>
      <c r="O76" s="1065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18</v>
      </c>
      <c r="O77" s="1065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18</v>
      </c>
      <c r="O78" s="1065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18</v>
      </c>
      <c r="O79" s="1065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18</v>
      </c>
      <c r="O80" s="1065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18</v>
      </c>
      <c r="O81" s="1065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18</v>
      </c>
      <c r="O82" s="1065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18</v>
      </c>
      <c r="O83" s="1065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18</v>
      </c>
      <c r="O84" s="1065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18</v>
      </c>
      <c r="O85" s="1065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18</v>
      </c>
      <c r="O86" s="1065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18</v>
      </c>
      <c r="O87" s="1065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18</v>
      </c>
      <c r="O88" s="1066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18</v>
      </c>
      <c r="O89" s="332">
        <f>SUM(G70:G89)</f>
        <v>0</v>
      </c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18</v>
      </c>
      <c r="O90" s="332"/>
    </row>
    <row r="91" spans="1:15" ht="12" customHeight="1" x14ac:dyDescent="0.2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18</v>
      </c>
      <c r="O91" s="1062"/>
    </row>
    <row r="92" spans="1:15" ht="12" customHeight="1" x14ac:dyDescent="0.2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18</v>
      </c>
      <c r="O92" s="1063"/>
    </row>
    <row r="93" spans="1:15" ht="12" customHeight="1" x14ac:dyDescent="0.2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18</v>
      </c>
      <c r="O93" s="1063"/>
    </row>
    <row r="94" spans="1:15" ht="12" customHeight="1" x14ac:dyDescent="0.2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18</v>
      </c>
      <c r="O94" s="1063"/>
    </row>
    <row r="95" spans="1:15" ht="12" customHeight="1" x14ac:dyDescent="0.2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18</v>
      </c>
      <c r="O95" s="1063"/>
    </row>
    <row r="96" spans="1:15" ht="12" customHeight="1" x14ac:dyDescent="0.2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18</v>
      </c>
      <c r="O96" s="1063"/>
    </row>
    <row r="97" spans="1:15" ht="12" customHeight="1" x14ac:dyDescent="0.2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18</v>
      </c>
      <c r="O97" s="1063"/>
    </row>
    <row r="98" spans="1:15" ht="12" customHeight="1" x14ac:dyDescent="0.2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18</v>
      </c>
      <c r="O98" s="1063"/>
    </row>
    <row r="99" spans="1:15" ht="12" customHeight="1" x14ac:dyDescent="0.2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18</v>
      </c>
      <c r="O99" s="1063"/>
    </row>
    <row r="100" spans="1:15" ht="12" customHeight="1" x14ac:dyDescent="0.2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18</v>
      </c>
      <c r="O100" s="1063"/>
    </row>
    <row r="101" spans="1:15" ht="12" customHeight="1" x14ac:dyDescent="0.2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18</v>
      </c>
      <c r="O101" s="1063"/>
    </row>
    <row r="102" spans="1:15" ht="12" customHeight="1" x14ac:dyDescent="0.2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18</v>
      </c>
      <c r="O102" s="1063"/>
    </row>
    <row r="103" spans="1:15" ht="12" customHeight="1" x14ac:dyDescent="0.2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18</v>
      </c>
      <c r="O103" s="1064"/>
    </row>
    <row r="104" spans="1:15" ht="12" customHeight="1" x14ac:dyDescent="0.2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18</v>
      </c>
      <c r="O104" s="507"/>
    </row>
    <row r="105" spans="1:15" ht="12" customHeight="1" x14ac:dyDescent="0.2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18</v>
      </c>
      <c r="O105" s="507"/>
    </row>
    <row r="106" spans="1:15" ht="12" customHeight="1" x14ac:dyDescent="0.2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18</v>
      </c>
      <c r="O106" s="507"/>
    </row>
    <row r="107" spans="1:15" ht="12" customHeight="1" x14ac:dyDescent="0.2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18</v>
      </c>
      <c r="O107" s="507"/>
    </row>
    <row r="108" spans="1:15" ht="12" customHeight="1" x14ac:dyDescent="0.2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18</v>
      </c>
      <c r="O108" s="507"/>
    </row>
    <row r="109" spans="1:15" ht="12" customHeight="1" x14ac:dyDescent="0.2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18</v>
      </c>
      <c r="O109" s="507"/>
    </row>
    <row r="110" spans="1:15" s="325" customFormat="1" ht="12.6" customHeight="1" x14ac:dyDescent="0.2">
      <c r="A110" s="318" t="s">
        <v>153</v>
      </c>
      <c r="B110" s="319" t="s">
        <v>422</v>
      </c>
      <c r="C110" s="320">
        <f>'Order form'!F284</f>
        <v>18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2.34</v>
      </c>
      <c r="H110" s="322">
        <v>6.6E-3</v>
      </c>
      <c r="I110" s="323">
        <f t="shared" si="4"/>
        <v>0.1188</v>
      </c>
      <c r="J110" s="323" t="s">
        <v>22</v>
      </c>
      <c r="K110" s="323">
        <f>'Order form'!G285</f>
        <v>400</v>
      </c>
      <c r="L110" s="323">
        <f t="shared" ref="L110:L143" si="12">C110/K110</f>
        <v>4.4999999999999998E-2</v>
      </c>
      <c r="M110" s="324">
        <f t="shared" ref="M110:M143" si="13">K110*H110</f>
        <v>2.64</v>
      </c>
      <c r="N110" s="194">
        <f t="shared" si="9"/>
        <v>19</v>
      </c>
      <c r="O110" s="1067">
        <f>SUM(G110:G150)</f>
        <v>26.34</v>
      </c>
    </row>
    <row r="111" spans="1:15" s="325" customFormat="1" ht="12.6" customHeight="1" x14ac:dyDescent="0.2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19</v>
      </c>
      <c r="O111" s="1068"/>
    </row>
    <row r="112" spans="1:15" s="325" customFormat="1" ht="12.6" customHeight="1" x14ac:dyDescent="0.2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19</v>
      </c>
      <c r="O112" s="1068"/>
    </row>
    <row r="113" spans="1:15" s="325" customFormat="1" ht="12.6" customHeight="1" x14ac:dyDescent="0.2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0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0</v>
      </c>
      <c r="H113" s="322">
        <v>0.1144</v>
      </c>
      <c r="I113" s="323">
        <f t="shared" si="4"/>
        <v>0</v>
      </c>
      <c r="J113" s="323" t="s">
        <v>22</v>
      </c>
      <c r="K113" s="323">
        <f>'Order form'!Q285</f>
        <v>100</v>
      </c>
      <c r="L113" s="323">
        <f t="shared" si="12"/>
        <v>0</v>
      </c>
      <c r="M113" s="324">
        <f t="shared" si="13"/>
        <v>11.44</v>
      </c>
      <c r="N113" s="194">
        <f t="shared" si="9"/>
        <v>19</v>
      </c>
      <c r="O113" s="1068"/>
    </row>
    <row r="114" spans="1:15" s="325" customFormat="1" ht="12.6" customHeight="1" x14ac:dyDescent="0.2">
      <c r="A114" s="318" t="s">
        <v>153</v>
      </c>
      <c r="B114" s="319" t="s">
        <v>158</v>
      </c>
      <c r="C114" s="320">
        <f>'Order form'!F295</f>
        <v>10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24</v>
      </c>
      <c r="H114" s="322">
        <v>0.32119999999999999</v>
      </c>
      <c r="I114" s="323">
        <f t="shared" si="4"/>
        <v>3.2119999999999997</v>
      </c>
      <c r="J114" s="323" t="s">
        <v>22</v>
      </c>
      <c r="K114" s="323">
        <f>'Order form'!G296</f>
        <v>100</v>
      </c>
      <c r="L114" s="323">
        <f t="shared" si="12"/>
        <v>0.1</v>
      </c>
      <c r="M114" s="324">
        <f t="shared" si="13"/>
        <v>32.119999999999997</v>
      </c>
      <c r="N114" s="194">
        <f t="shared" si="9"/>
        <v>20</v>
      </c>
      <c r="O114" s="1068"/>
    </row>
    <row r="115" spans="1:15" s="325" customFormat="1" ht="12.6" customHeight="1" x14ac:dyDescent="0.2">
      <c r="A115" s="318" t="s">
        <v>153</v>
      </c>
      <c r="B115" s="319" t="s">
        <v>158</v>
      </c>
      <c r="C115" s="320">
        <f>'Order form'!K295</f>
        <v>0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0</v>
      </c>
      <c r="H115" s="322">
        <v>0.28599999999999998</v>
      </c>
      <c r="I115" s="323">
        <f t="shared" si="4"/>
        <v>0</v>
      </c>
      <c r="J115" s="323" t="s">
        <v>22</v>
      </c>
      <c r="K115" s="323">
        <f>'Order form'!L296</f>
        <v>100</v>
      </c>
      <c r="L115" s="323">
        <f t="shared" si="12"/>
        <v>0</v>
      </c>
      <c r="M115" s="324">
        <f t="shared" si="13"/>
        <v>28.599999999999998</v>
      </c>
      <c r="N115" s="194">
        <f t="shared" si="9"/>
        <v>20</v>
      </c>
      <c r="O115" s="1068"/>
    </row>
    <row r="116" spans="1:15" s="325" customFormat="1" ht="12.6" customHeight="1" x14ac:dyDescent="0.2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20</v>
      </c>
      <c r="O116" s="1068"/>
    </row>
    <row r="117" spans="1:15" s="325" customFormat="1" ht="12.6" customHeight="1" x14ac:dyDescent="0.2">
      <c r="A117" s="318" t="s">
        <v>153</v>
      </c>
      <c r="B117" s="319" t="s">
        <v>158</v>
      </c>
      <c r="C117" s="320">
        <f>'Order form'!U295</f>
        <v>0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0</v>
      </c>
      <c r="H117" s="322">
        <v>2.2000000000000002</v>
      </c>
      <c r="I117" s="323">
        <f t="shared" si="4"/>
        <v>0</v>
      </c>
      <c r="J117" s="323" t="s">
        <v>22</v>
      </c>
      <c r="K117" s="323">
        <f>'Order form'!V296</f>
        <v>15</v>
      </c>
      <c r="L117" s="323">
        <f t="shared" si="12"/>
        <v>0</v>
      </c>
      <c r="M117" s="324">
        <f t="shared" si="13"/>
        <v>33</v>
      </c>
      <c r="N117" s="194">
        <f t="shared" si="9"/>
        <v>20</v>
      </c>
      <c r="O117" s="1068"/>
    </row>
    <row r="118" spans="1:15" s="325" customFormat="1" ht="12.6" customHeight="1" x14ac:dyDescent="0.2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20</v>
      </c>
      <c r="O118" s="1068"/>
    </row>
    <row r="119" spans="1:15" s="325" customFormat="1" ht="12.6" customHeight="1" x14ac:dyDescent="0.2">
      <c r="A119" s="318" t="s">
        <v>153</v>
      </c>
      <c r="B119" s="319" t="s">
        <v>422</v>
      </c>
      <c r="C119" s="320">
        <f>'Order form'!F306</f>
        <v>0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0</v>
      </c>
      <c r="H119" s="322">
        <v>1.0999999999999999E-2</v>
      </c>
      <c r="I119" s="323">
        <f t="shared" ref="I119:I125" si="15">C119*H119</f>
        <v>0</v>
      </c>
      <c r="J119" s="323" t="s">
        <v>22</v>
      </c>
      <c r="K119" s="323">
        <f>'Order form'!G307</f>
        <v>300</v>
      </c>
      <c r="L119" s="323">
        <f t="shared" si="12"/>
        <v>0</v>
      </c>
      <c r="M119" s="324">
        <f t="shared" si="13"/>
        <v>3.3</v>
      </c>
      <c r="N119" s="194">
        <f t="shared" si="9"/>
        <v>20</v>
      </c>
      <c r="O119" s="1068"/>
    </row>
    <row r="120" spans="1:15" s="325" customFormat="1" ht="12.6" customHeight="1" x14ac:dyDescent="0.2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20</v>
      </c>
      <c r="O120" s="1068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form'!P306</f>
        <v>0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0</v>
      </c>
      <c r="H121" s="322">
        <v>4.3999999999999997E-2</v>
      </c>
      <c r="I121" s="323">
        <f t="shared" si="15"/>
        <v>0</v>
      </c>
      <c r="J121" s="323" t="s">
        <v>22</v>
      </c>
      <c r="K121" s="323">
        <f>'Order form'!Q307</f>
        <v>230</v>
      </c>
      <c r="L121" s="323">
        <f t="shared" si="12"/>
        <v>0</v>
      </c>
      <c r="M121" s="324">
        <f t="shared" si="13"/>
        <v>10.119999999999999</v>
      </c>
      <c r="N121" s="194">
        <f t="shared" si="9"/>
        <v>20</v>
      </c>
      <c r="O121" s="1068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form'!U306</f>
        <v>0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0</v>
      </c>
      <c r="H122" s="322">
        <v>5.7000000000000002E-2</v>
      </c>
      <c r="I122" s="323">
        <f t="shared" si="15"/>
        <v>0</v>
      </c>
      <c r="J122" s="323" t="s">
        <v>22</v>
      </c>
      <c r="K122" s="323">
        <f>'Order form'!V307</f>
        <v>200</v>
      </c>
      <c r="L122" s="323">
        <f t="shared" si="12"/>
        <v>0</v>
      </c>
      <c r="M122" s="324">
        <f t="shared" si="13"/>
        <v>11.4</v>
      </c>
      <c r="N122" s="194">
        <f t="shared" si="9"/>
        <v>20</v>
      </c>
      <c r="O122" s="1068"/>
    </row>
    <row r="123" spans="1:15" s="325" customFormat="1" ht="12.6" customHeight="1" x14ac:dyDescent="0.2">
      <c r="A123" s="318" t="s">
        <v>153</v>
      </c>
      <c r="B123" s="319" t="s">
        <v>158</v>
      </c>
      <c r="C123" s="320">
        <f>'Order form'!F317</f>
        <v>0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0</v>
      </c>
      <c r="H123" s="322">
        <v>0.15840000000000001</v>
      </c>
      <c r="I123" s="323">
        <f t="shared" si="15"/>
        <v>0</v>
      </c>
      <c r="J123" s="323" t="s">
        <v>22</v>
      </c>
      <c r="K123" s="323">
        <f>'Order form'!G318</f>
        <v>60</v>
      </c>
      <c r="L123" s="323">
        <f t="shared" si="12"/>
        <v>0</v>
      </c>
      <c r="M123" s="324">
        <f t="shared" si="13"/>
        <v>9.5040000000000013</v>
      </c>
      <c r="N123" s="194">
        <f t="shared" si="9"/>
        <v>20</v>
      </c>
      <c r="O123" s="1068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20</v>
      </c>
      <c r="O124" s="1068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form'!P317</f>
        <v>0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0</v>
      </c>
      <c r="H125" s="322">
        <v>0.29039999999999999</v>
      </c>
      <c r="I125" s="323">
        <f t="shared" si="15"/>
        <v>0</v>
      </c>
      <c r="J125" s="323" t="s">
        <v>22</v>
      </c>
      <c r="K125" s="323">
        <f>'Order form'!Q318</f>
        <v>60</v>
      </c>
      <c r="L125" s="323">
        <f t="shared" si="12"/>
        <v>0</v>
      </c>
      <c r="M125" s="324">
        <f t="shared" si="13"/>
        <v>17.423999999999999</v>
      </c>
      <c r="N125" s="194">
        <f t="shared" si="9"/>
        <v>20</v>
      </c>
      <c r="O125" s="1068"/>
    </row>
    <row r="126" spans="1:15" s="325" customFormat="1" ht="12.6" customHeight="1" x14ac:dyDescent="0.2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20</v>
      </c>
      <c r="O126" s="1068"/>
    </row>
    <row r="127" spans="1:15" s="325" customFormat="1" ht="12.6" customHeight="1" x14ac:dyDescent="0.2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20</v>
      </c>
      <c r="O127" s="1068"/>
    </row>
    <row r="128" spans="1:15" s="325" customFormat="1" ht="12.6" customHeight="1" x14ac:dyDescent="0.2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20</v>
      </c>
      <c r="O128" s="1068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20</v>
      </c>
      <c r="O129" s="1068"/>
    </row>
    <row r="130" spans="1:15" s="325" customFormat="1" ht="12.6" customHeight="1" x14ac:dyDescent="0.2">
      <c r="A130" s="318" t="s">
        <v>153</v>
      </c>
      <c r="B130" s="319" t="s">
        <v>158</v>
      </c>
      <c r="C130" s="320">
        <f>'Order form'!P328</f>
        <v>0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0</v>
      </c>
      <c r="H130" s="322">
        <v>0.1386</v>
      </c>
      <c r="I130" s="323">
        <f t="shared" si="16"/>
        <v>0</v>
      </c>
      <c r="J130" s="323" t="s">
        <v>22</v>
      </c>
      <c r="K130" s="323">
        <f>'Order form'!Q329</f>
        <v>105</v>
      </c>
      <c r="L130" s="323">
        <f t="shared" si="12"/>
        <v>0</v>
      </c>
      <c r="M130" s="324">
        <f t="shared" si="13"/>
        <v>14.553000000000001</v>
      </c>
      <c r="N130" s="194">
        <f t="shared" si="9"/>
        <v>20</v>
      </c>
      <c r="O130" s="1068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20</v>
      </c>
      <c r="O131" s="1068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20</v>
      </c>
      <c r="O132" s="1068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form'!K339</f>
        <v>0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0</v>
      </c>
      <c r="H133" s="322">
        <v>0.31900000000000001</v>
      </c>
      <c r="I133" s="323">
        <f t="shared" si="4"/>
        <v>0</v>
      </c>
      <c r="J133" s="323" t="s">
        <v>22</v>
      </c>
      <c r="K133" s="323">
        <f>'Order form'!L340</f>
        <v>50</v>
      </c>
      <c r="L133" s="323">
        <f t="shared" si="12"/>
        <v>0</v>
      </c>
      <c r="M133" s="324">
        <f t="shared" si="13"/>
        <v>15.950000000000001</v>
      </c>
      <c r="N133" s="194">
        <f t="shared" si="9"/>
        <v>20</v>
      </c>
      <c r="O133" s="1068"/>
    </row>
    <row r="134" spans="1:15" s="325" customFormat="1" ht="12.6" customHeight="1" x14ac:dyDescent="0.2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20</v>
      </c>
      <c r="O134" s="1068"/>
    </row>
    <row r="135" spans="1:15" s="325" customFormat="1" ht="12.6" customHeight="1" x14ac:dyDescent="0.2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20</v>
      </c>
      <c r="O135" s="1068"/>
    </row>
    <row r="136" spans="1:15" s="325" customFormat="1" ht="12.6" customHeight="1" x14ac:dyDescent="0.2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20</v>
      </c>
      <c r="O136" s="1068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20</v>
      </c>
      <c r="O137" s="1068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20</v>
      </c>
      <c r="O138" s="1068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form'!P350</f>
        <v>0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0</v>
      </c>
      <c r="H139" s="331">
        <v>0.374</v>
      </c>
      <c r="I139" s="323">
        <f t="shared" si="18"/>
        <v>0</v>
      </c>
      <c r="J139" s="323" t="s">
        <v>22</v>
      </c>
      <c r="K139" s="330">
        <f>'Order form'!Q351</f>
        <v>20</v>
      </c>
      <c r="L139" s="323">
        <f t="shared" si="12"/>
        <v>0</v>
      </c>
      <c r="M139" s="324">
        <f t="shared" si="13"/>
        <v>7.48</v>
      </c>
      <c r="N139" s="194">
        <f t="shared" si="9"/>
        <v>20</v>
      </c>
      <c r="O139" s="1068"/>
    </row>
    <row r="140" spans="1:15" s="325" customFormat="1" ht="12.6" customHeight="1" x14ac:dyDescent="0.2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L-M77012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20</v>
      </c>
      <c r="O140" s="1068"/>
    </row>
    <row r="141" spans="1:15" s="325" customFormat="1" ht="12.6" customHeight="1" x14ac:dyDescent="0.2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20</v>
      </c>
      <c r="O141" s="1068"/>
    </row>
    <row r="142" spans="1:15" s="325" customFormat="1" x14ac:dyDescent="0.2">
      <c r="A142" s="318" t="s">
        <v>511</v>
      </c>
      <c r="B142" s="319" t="s">
        <v>158</v>
      </c>
      <c r="C142" s="320">
        <f>'Order form'!F361</f>
        <v>0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0</v>
      </c>
      <c r="H142" s="322">
        <v>2.34</v>
      </c>
      <c r="I142" s="323">
        <f t="shared" si="18"/>
        <v>0</v>
      </c>
      <c r="J142" s="323" t="s">
        <v>473</v>
      </c>
      <c r="K142" s="323">
        <f>'Order form'!G362</f>
        <v>10</v>
      </c>
      <c r="L142" s="323">
        <f t="shared" si="12"/>
        <v>0</v>
      </c>
      <c r="M142" s="324">
        <f t="shared" si="13"/>
        <v>23.4</v>
      </c>
      <c r="N142" s="194">
        <f t="shared" si="9"/>
        <v>20</v>
      </c>
      <c r="O142" s="1068"/>
    </row>
    <row r="143" spans="1:15" s="325" customFormat="1" x14ac:dyDescent="0.2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20</v>
      </c>
      <c r="O143" s="1068"/>
    </row>
    <row r="144" spans="1:15" s="325" customFormat="1" x14ac:dyDescent="0.2">
      <c r="A144" s="318" t="s">
        <v>511</v>
      </c>
      <c r="B144" s="319" t="s">
        <v>158</v>
      </c>
      <c r="C144" s="320">
        <f>'Order form'!P361</f>
        <v>0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0</v>
      </c>
      <c r="H144" s="322">
        <v>4.12</v>
      </c>
      <c r="I144" s="323">
        <f t="shared" si="18"/>
        <v>0</v>
      </c>
      <c r="J144" s="323" t="s">
        <v>473</v>
      </c>
      <c r="K144" s="323">
        <f>'Order form'!Q362</f>
        <v>10</v>
      </c>
      <c r="L144" s="323">
        <f t="shared" ref="L144:L176" si="20">C144/K144</f>
        <v>0</v>
      </c>
      <c r="M144" s="324">
        <f t="shared" ref="M144:M176" si="21">K144*H144</f>
        <v>41.2</v>
      </c>
      <c r="N144" s="194">
        <f t="shared" si="19"/>
        <v>20</v>
      </c>
      <c r="O144" s="1068"/>
    </row>
    <row r="145" spans="1:15" s="325" customFormat="1" x14ac:dyDescent="0.2">
      <c r="A145" s="318" t="s">
        <v>153</v>
      </c>
      <c r="B145" s="319" t="s">
        <v>158</v>
      </c>
      <c r="C145" s="320">
        <f>'Order form'!U361</f>
        <v>0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0</v>
      </c>
      <c r="H145" s="322">
        <v>8.14E-2</v>
      </c>
      <c r="I145" s="323">
        <f t="shared" si="18"/>
        <v>0</v>
      </c>
      <c r="J145" s="323" t="s">
        <v>22</v>
      </c>
      <c r="K145" s="323">
        <f>'Order form'!V362</f>
        <v>400</v>
      </c>
      <c r="L145" s="323">
        <f t="shared" si="20"/>
        <v>0</v>
      </c>
      <c r="M145" s="324">
        <f t="shared" si="21"/>
        <v>32.56</v>
      </c>
      <c r="N145" s="194">
        <f t="shared" si="19"/>
        <v>20</v>
      </c>
      <c r="O145" s="1068"/>
    </row>
    <row r="146" spans="1:15" s="325" customFormat="1" x14ac:dyDescent="0.2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20</v>
      </c>
      <c r="O146" s="1068"/>
    </row>
    <row r="147" spans="1:15" s="325" customFormat="1" x14ac:dyDescent="0.2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20</v>
      </c>
      <c r="O147" s="1068"/>
    </row>
    <row r="148" spans="1:15" s="325" customFormat="1" x14ac:dyDescent="0.2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20</v>
      </c>
      <c r="O148" s="1068"/>
    </row>
    <row r="149" spans="1:15" s="325" customFormat="1" x14ac:dyDescent="0.2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20</v>
      </c>
      <c r="O149" s="1068"/>
    </row>
    <row r="150" spans="1:15" s="325" customFormat="1" x14ac:dyDescent="0.2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20</v>
      </c>
      <c r="O150" s="1069"/>
    </row>
    <row r="151" spans="1:15" ht="12.6" customHeight="1" x14ac:dyDescent="0.2">
      <c r="A151" s="506" t="s">
        <v>154</v>
      </c>
      <c r="B151" s="196" t="s">
        <v>159</v>
      </c>
      <c r="C151" s="194">
        <f>'Order form'!F384</f>
        <v>0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0</v>
      </c>
      <c r="H151" s="189">
        <v>80</v>
      </c>
      <c r="I151" s="190">
        <f t="shared" si="18"/>
        <v>0</v>
      </c>
      <c r="J151" s="190" t="s">
        <v>2</v>
      </c>
      <c r="K151" s="190">
        <v>1</v>
      </c>
      <c r="L151" s="190">
        <f t="shared" si="20"/>
        <v>0</v>
      </c>
      <c r="M151" s="195">
        <f t="shared" si="21"/>
        <v>80</v>
      </c>
      <c r="N151" s="194">
        <f t="shared" si="19"/>
        <v>20</v>
      </c>
      <c r="O151" s="1057">
        <f>SUM(G151:G154)</f>
        <v>0</v>
      </c>
    </row>
    <row r="152" spans="1:15" ht="12.6" customHeight="1" x14ac:dyDescent="0.2">
      <c r="A152" s="506" t="s">
        <v>154</v>
      </c>
      <c r="B152" s="196" t="s">
        <v>159</v>
      </c>
      <c r="C152" s="194">
        <f>'Order form'!K384</f>
        <v>0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0</v>
      </c>
      <c r="H152" s="189">
        <v>40</v>
      </c>
      <c r="I152" s="190">
        <f t="shared" si="18"/>
        <v>0</v>
      </c>
      <c r="J152" s="190" t="s">
        <v>2</v>
      </c>
      <c r="K152" s="190">
        <v>1</v>
      </c>
      <c r="L152" s="190">
        <f t="shared" si="20"/>
        <v>0</v>
      </c>
      <c r="M152" s="195">
        <f t="shared" si="21"/>
        <v>40</v>
      </c>
      <c r="N152" s="194">
        <f t="shared" si="19"/>
        <v>20</v>
      </c>
      <c r="O152" s="1058"/>
    </row>
    <row r="153" spans="1:15" ht="12.6" customHeight="1" x14ac:dyDescent="0.2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20</v>
      </c>
      <c r="O153" s="1058"/>
    </row>
    <row r="154" spans="1:15" ht="12.6" customHeight="1" x14ac:dyDescent="0.2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20</v>
      </c>
      <c r="O154" s="1059"/>
    </row>
    <row r="155" spans="1:15" s="325" customFormat="1" x14ac:dyDescent="0.2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170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13.6</v>
      </c>
      <c r="H155" s="322">
        <v>1.54E-2</v>
      </c>
      <c r="I155" s="323">
        <f t="shared" si="18"/>
        <v>2.6179999999999999</v>
      </c>
      <c r="J155" s="323" t="s">
        <v>22</v>
      </c>
      <c r="K155" s="330">
        <f>'Order form'!G397</f>
        <v>200</v>
      </c>
      <c r="L155" s="323">
        <f t="shared" si="20"/>
        <v>0.85</v>
      </c>
      <c r="M155" s="324">
        <f t="shared" si="21"/>
        <v>3.08</v>
      </c>
      <c r="N155" s="194">
        <f t="shared" si="19"/>
        <v>21</v>
      </c>
      <c r="O155" s="1060">
        <f>SUM(G155:G176)</f>
        <v>81.500000000000014</v>
      </c>
    </row>
    <row r="156" spans="1:15" s="325" customFormat="1" x14ac:dyDescent="0.2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170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11.9</v>
      </c>
      <c r="H156" s="322">
        <v>4.4000000000000003E-3</v>
      </c>
      <c r="I156" s="323">
        <f t="shared" si="18"/>
        <v>0.748</v>
      </c>
      <c r="J156" s="323" t="s">
        <v>22</v>
      </c>
      <c r="K156" s="330">
        <f>'Order form'!L397</f>
        <v>200</v>
      </c>
      <c r="L156" s="323">
        <f t="shared" si="20"/>
        <v>0.85</v>
      </c>
      <c r="M156" s="324">
        <f t="shared" si="21"/>
        <v>0.88</v>
      </c>
      <c r="N156" s="194">
        <f t="shared" si="19"/>
        <v>22</v>
      </c>
      <c r="O156" s="1061"/>
    </row>
    <row r="157" spans="1:15" s="325" customFormat="1" x14ac:dyDescent="0.2">
      <c r="A157" s="318" t="s">
        <v>153</v>
      </c>
      <c r="B157" s="319" t="s">
        <v>596</v>
      </c>
      <c r="C157" s="320">
        <f>'Order form'!P396+('Order form'!Z163*1)</f>
        <v>0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</v>
      </c>
      <c r="H157" s="322">
        <v>1.0999999999999999E-2</v>
      </c>
      <c r="I157" s="323">
        <f t="shared" si="18"/>
        <v>0</v>
      </c>
      <c r="J157" s="323" t="s">
        <v>22</v>
      </c>
      <c r="K157" s="330">
        <f>'Order form'!Q397</f>
        <v>200</v>
      </c>
      <c r="L157" s="323">
        <f t="shared" si="20"/>
        <v>0</v>
      </c>
      <c r="M157" s="324">
        <f t="shared" si="21"/>
        <v>2.1999999999999997</v>
      </c>
      <c r="N157" s="194">
        <f t="shared" si="19"/>
        <v>22</v>
      </c>
      <c r="O157" s="1061"/>
    </row>
    <row r="158" spans="1:15" s="325" customFormat="1" x14ac:dyDescent="0.2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22</v>
      </c>
      <c r="O158" s="1061"/>
    </row>
    <row r="159" spans="1:15" s="325" customFormat="1" x14ac:dyDescent="0.2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22</v>
      </c>
      <c r="O159" s="1061"/>
    </row>
    <row r="160" spans="1:15" s="325" customFormat="1" x14ac:dyDescent="0.2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22</v>
      </c>
      <c r="O160" s="1061"/>
    </row>
    <row r="161" spans="1:15" s="325" customFormat="1" x14ac:dyDescent="0.2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22</v>
      </c>
      <c r="O161" s="1061"/>
    </row>
    <row r="162" spans="1:15" s="325" customFormat="1" x14ac:dyDescent="0.2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22</v>
      </c>
      <c r="O162" s="1061"/>
    </row>
    <row r="163" spans="1:15" s="325" customFormat="1" x14ac:dyDescent="0.2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22</v>
      </c>
      <c r="O163" s="1061"/>
    </row>
    <row r="164" spans="1:15" s="325" customFormat="1" x14ac:dyDescent="0.2">
      <c r="A164" s="318" t="s">
        <v>153</v>
      </c>
      <c r="B164" s="319" t="s">
        <v>597</v>
      </c>
      <c r="C164" s="320">
        <f>'Order form'!F419</f>
        <v>200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8</v>
      </c>
      <c r="H164" s="322">
        <v>0.187</v>
      </c>
      <c r="I164" s="323">
        <f t="shared" si="18"/>
        <v>37.4</v>
      </c>
      <c r="J164" s="323" t="s">
        <v>22</v>
      </c>
      <c r="K164" s="330">
        <f>'Order form'!G420</f>
        <v>100</v>
      </c>
      <c r="L164" s="323">
        <f t="shared" si="20"/>
        <v>2</v>
      </c>
      <c r="M164" s="324">
        <f t="shared" si="21"/>
        <v>18.7</v>
      </c>
      <c r="N164" s="194">
        <f t="shared" si="19"/>
        <v>23</v>
      </c>
      <c r="O164" s="1061"/>
    </row>
    <row r="165" spans="1:15" s="325" customFormat="1" x14ac:dyDescent="0.2">
      <c r="A165" s="318" t="s">
        <v>153</v>
      </c>
      <c r="B165" s="319" t="s">
        <v>597</v>
      </c>
      <c r="C165" s="320">
        <f>'Order form'!K419</f>
        <v>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0</v>
      </c>
      <c r="H165" s="322">
        <v>0.187</v>
      </c>
      <c r="I165" s="323">
        <f t="shared" si="18"/>
        <v>0</v>
      </c>
      <c r="J165" s="323" t="s">
        <v>22</v>
      </c>
      <c r="K165" s="330">
        <f>'Order form'!L420</f>
        <v>100</v>
      </c>
      <c r="L165" s="323">
        <f t="shared" si="20"/>
        <v>0</v>
      </c>
      <c r="M165" s="324">
        <f t="shared" si="21"/>
        <v>18.7</v>
      </c>
      <c r="N165" s="194">
        <f t="shared" si="19"/>
        <v>23</v>
      </c>
      <c r="O165" s="1061"/>
    </row>
    <row r="166" spans="1:15" s="325" customFormat="1" x14ac:dyDescent="0.2">
      <c r="A166" s="318" t="s">
        <v>153</v>
      </c>
      <c r="B166" s="319" t="s">
        <v>597</v>
      </c>
      <c r="C166" s="320">
        <f>'Order form'!P419</f>
        <v>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0</v>
      </c>
      <c r="H166" s="322">
        <v>0.187</v>
      </c>
      <c r="I166" s="323">
        <f t="shared" si="18"/>
        <v>0</v>
      </c>
      <c r="J166" s="323" t="s">
        <v>22</v>
      </c>
      <c r="K166" s="330">
        <f>'Order form'!Q420</f>
        <v>100</v>
      </c>
      <c r="L166" s="323">
        <f t="shared" si="20"/>
        <v>0</v>
      </c>
      <c r="M166" s="324">
        <f t="shared" si="21"/>
        <v>18.7</v>
      </c>
      <c r="N166" s="194">
        <f t="shared" si="19"/>
        <v>23</v>
      </c>
      <c r="O166" s="1061"/>
    </row>
    <row r="167" spans="1:15" s="325" customFormat="1" x14ac:dyDescent="0.2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23</v>
      </c>
      <c r="O167" s="1061"/>
    </row>
    <row r="168" spans="1:15" s="325" customFormat="1" x14ac:dyDescent="0.2">
      <c r="A168" s="318" t="s">
        <v>153</v>
      </c>
      <c r="B168" s="319" t="s">
        <v>158</v>
      </c>
      <c r="C168" s="320">
        <f>'Order form'!F430</f>
        <v>24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19.200000000000003</v>
      </c>
      <c r="H168" s="322">
        <v>0.1804</v>
      </c>
      <c r="I168" s="323">
        <f t="shared" si="18"/>
        <v>4.3296000000000001</v>
      </c>
      <c r="J168" s="323" t="s">
        <v>22</v>
      </c>
      <c r="K168" s="330">
        <f>'Order form'!G431</f>
        <v>180</v>
      </c>
      <c r="L168" s="323">
        <f t="shared" si="20"/>
        <v>0.13333333333333333</v>
      </c>
      <c r="M168" s="324">
        <f t="shared" si="21"/>
        <v>32.472000000000001</v>
      </c>
      <c r="N168" s="194">
        <f t="shared" si="19"/>
        <v>24</v>
      </c>
      <c r="O168" s="1061"/>
    </row>
    <row r="169" spans="1:15" s="325" customFormat="1" x14ac:dyDescent="0.2">
      <c r="A169" s="318" t="s">
        <v>153</v>
      </c>
      <c r="B169" s="319" t="s">
        <v>158</v>
      </c>
      <c r="C169" s="320">
        <f>'Order form'!K430</f>
        <v>24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19.200000000000003</v>
      </c>
      <c r="H169" s="322">
        <v>0.17380000000000001</v>
      </c>
      <c r="I169" s="323">
        <f t="shared" si="18"/>
        <v>4.1712000000000007</v>
      </c>
      <c r="J169" s="323" t="s">
        <v>22</v>
      </c>
      <c r="K169" s="330">
        <f>'Order form'!L431</f>
        <v>180</v>
      </c>
      <c r="L169" s="323">
        <f t="shared" si="20"/>
        <v>0.13333333333333333</v>
      </c>
      <c r="M169" s="324">
        <f t="shared" si="21"/>
        <v>31.284000000000002</v>
      </c>
      <c r="N169" s="194">
        <f t="shared" si="19"/>
        <v>25</v>
      </c>
      <c r="O169" s="1061"/>
    </row>
    <row r="170" spans="1:15" s="325" customFormat="1" x14ac:dyDescent="0.2">
      <c r="A170" s="318" t="s">
        <v>153</v>
      </c>
      <c r="B170" s="319" t="s">
        <v>158</v>
      </c>
      <c r="C170" s="320">
        <f>'Order form'!P430</f>
        <v>0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0</v>
      </c>
      <c r="H170" s="322">
        <v>0.23799999999999999</v>
      </c>
      <c r="I170" s="323">
        <f t="shared" si="18"/>
        <v>0</v>
      </c>
      <c r="J170" s="323" t="s">
        <v>22</v>
      </c>
      <c r="K170" s="330">
        <f>'Order form'!Q431</f>
        <v>90</v>
      </c>
      <c r="L170" s="323">
        <f t="shared" si="20"/>
        <v>0</v>
      </c>
      <c r="M170" s="324">
        <f t="shared" si="21"/>
        <v>21.419999999999998</v>
      </c>
      <c r="N170" s="194">
        <f t="shared" si="19"/>
        <v>25</v>
      </c>
      <c r="O170" s="1061"/>
    </row>
    <row r="171" spans="1:15" s="325" customFormat="1" x14ac:dyDescent="0.2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25</v>
      </c>
      <c r="O171" s="1061"/>
    </row>
    <row r="172" spans="1:15" s="325" customFormat="1" x14ac:dyDescent="0.2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25</v>
      </c>
      <c r="O172" s="1061"/>
    </row>
    <row r="173" spans="1:15" s="325" customFormat="1" x14ac:dyDescent="0.2">
      <c r="A173" s="318" t="s">
        <v>153</v>
      </c>
      <c r="B173" s="319" t="s">
        <v>157</v>
      </c>
      <c r="C173" s="320">
        <f>'Order form'!F441</f>
        <v>48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7.1999999999999993</v>
      </c>
      <c r="H173" s="322">
        <v>3.7400000000000003E-2</v>
      </c>
      <c r="I173" s="323">
        <f t="shared" si="18"/>
        <v>1.7952000000000001</v>
      </c>
      <c r="J173" s="323" t="s">
        <v>22</v>
      </c>
      <c r="K173" s="330">
        <f>'Order form'!G442</f>
        <v>800</v>
      </c>
      <c r="L173" s="323">
        <f t="shared" si="20"/>
        <v>0.06</v>
      </c>
      <c r="M173" s="324">
        <f t="shared" si="21"/>
        <v>29.92</v>
      </c>
      <c r="N173" s="194">
        <f t="shared" si="19"/>
        <v>26</v>
      </c>
      <c r="O173" s="1061"/>
    </row>
    <row r="174" spans="1:15" s="325" customFormat="1" x14ac:dyDescent="0.2">
      <c r="A174" s="318" t="s">
        <v>153</v>
      </c>
      <c r="B174" s="319" t="s">
        <v>157</v>
      </c>
      <c r="C174" s="320">
        <f>'Order form'!K441</f>
        <v>0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0</v>
      </c>
      <c r="H174" s="322">
        <v>8.8000000000000005E-3</v>
      </c>
      <c r="I174" s="323">
        <f t="shared" si="18"/>
        <v>0</v>
      </c>
      <c r="J174" s="323" t="s">
        <v>22</v>
      </c>
      <c r="K174" s="330">
        <f>'Order form'!L442</f>
        <v>800</v>
      </c>
      <c r="L174" s="323">
        <f t="shared" si="20"/>
        <v>0</v>
      </c>
      <c r="M174" s="324">
        <f t="shared" si="21"/>
        <v>7.04</v>
      </c>
      <c r="N174" s="194">
        <f t="shared" si="19"/>
        <v>26</v>
      </c>
      <c r="O174" s="1061"/>
    </row>
    <row r="175" spans="1:15" s="325" customFormat="1" x14ac:dyDescent="0.2">
      <c r="A175" s="318" t="s">
        <v>153</v>
      </c>
      <c r="B175" s="319" t="s">
        <v>157</v>
      </c>
      <c r="C175" s="320">
        <f>'Order form'!P441</f>
        <v>48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2.4000000000000004</v>
      </c>
      <c r="H175" s="322">
        <v>8.8000000000000005E-3</v>
      </c>
      <c r="I175" s="323">
        <f t="shared" ref="I175:I176" si="25">C175*H175</f>
        <v>0.4224</v>
      </c>
      <c r="J175" s="323" t="s">
        <v>22</v>
      </c>
      <c r="K175" s="330">
        <f>'Order form'!Q442</f>
        <v>200</v>
      </c>
      <c r="L175" s="323">
        <f t="shared" si="20"/>
        <v>0.24</v>
      </c>
      <c r="M175" s="324">
        <f t="shared" si="21"/>
        <v>1.76</v>
      </c>
      <c r="N175" s="194">
        <f t="shared" si="19"/>
        <v>27</v>
      </c>
      <c r="O175" s="1061"/>
    </row>
    <row r="176" spans="1:15" s="325" customFormat="1" x14ac:dyDescent="0.2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27</v>
      </c>
      <c r="O176" s="1061"/>
    </row>
    <row r="177" spans="1:15" ht="12.6" customHeight="1" x14ac:dyDescent="0.2">
      <c r="A177" s="506" t="s">
        <v>153</v>
      </c>
      <c r="B177" s="196" t="s">
        <v>423</v>
      </c>
      <c r="C177" s="194">
        <f>'Order form'!F454</f>
        <v>0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0</v>
      </c>
      <c r="H177" s="189">
        <v>1.595</v>
      </c>
      <c r="I177" s="190">
        <f>C177*H177</f>
        <v>0</v>
      </c>
      <c r="J177" s="190" t="s">
        <v>22</v>
      </c>
      <c r="K177" s="190">
        <f>'Order form'!G455</f>
        <v>40</v>
      </c>
      <c r="L177" s="190">
        <f t="shared" ref="L177:L214" si="26">C177/K177</f>
        <v>0</v>
      </c>
      <c r="M177" s="195">
        <f t="shared" ref="M177:M214" si="27">K177*H177</f>
        <v>63.8</v>
      </c>
      <c r="N177" s="194">
        <f t="shared" si="19"/>
        <v>27</v>
      </c>
      <c r="O177" s="1071">
        <f>SUM(G177:G193)</f>
        <v>118</v>
      </c>
    </row>
    <row r="178" spans="1:15" ht="12.6" customHeight="1" x14ac:dyDescent="0.2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27</v>
      </c>
      <c r="O178" s="1071"/>
    </row>
    <row r="179" spans="1:15" ht="12.6" customHeight="1" x14ac:dyDescent="0.2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27</v>
      </c>
      <c r="O179" s="1071"/>
    </row>
    <row r="180" spans="1:15" ht="12.6" customHeight="1" x14ac:dyDescent="0.2">
      <c r="A180" s="506" t="s">
        <v>153</v>
      </c>
      <c r="B180" s="196" t="s">
        <v>423</v>
      </c>
      <c r="C180" s="194">
        <f>'Order form'!F465</f>
        <v>0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0</v>
      </c>
      <c r="H180" s="189">
        <v>1.881</v>
      </c>
      <c r="I180" s="190">
        <f t="shared" si="28"/>
        <v>0</v>
      </c>
      <c r="J180" s="190" t="s">
        <v>22</v>
      </c>
      <c r="K180" s="190">
        <f>'Order form'!G466</f>
        <v>4</v>
      </c>
      <c r="L180" s="190">
        <f t="shared" si="26"/>
        <v>0</v>
      </c>
      <c r="M180" s="195">
        <f t="shared" si="27"/>
        <v>7.524</v>
      </c>
      <c r="N180" s="194">
        <f t="shared" si="19"/>
        <v>27</v>
      </c>
      <c r="O180" s="1071"/>
    </row>
    <row r="181" spans="1:15" x14ac:dyDescent="0.2">
      <c r="A181" s="506" t="s">
        <v>153</v>
      </c>
      <c r="B181" s="196" t="s">
        <v>423</v>
      </c>
      <c r="C181" s="194">
        <f>'Order form'!K465</f>
        <v>0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0</v>
      </c>
      <c r="H181" s="189">
        <v>1.496</v>
      </c>
      <c r="I181" s="190">
        <f t="shared" si="28"/>
        <v>0</v>
      </c>
      <c r="J181" s="190" t="s">
        <v>22</v>
      </c>
      <c r="K181" s="190">
        <f>'Order form'!L466</f>
        <v>32</v>
      </c>
      <c r="L181" s="190">
        <f t="shared" si="26"/>
        <v>0</v>
      </c>
      <c r="M181" s="195">
        <f t="shared" si="27"/>
        <v>47.872</v>
      </c>
      <c r="N181" s="194">
        <f t="shared" si="19"/>
        <v>27</v>
      </c>
      <c r="O181" s="1071"/>
    </row>
    <row r="182" spans="1:15" ht="12.6" customHeight="1" x14ac:dyDescent="0.2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27</v>
      </c>
      <c r="O182" s="1071"/>
    </row>
    <row r="183" spans="1:15" ht="12.6" customHeight="1" x14ac:dyDescent="0.2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27</v>
      </c>
      <c r="O183" s="1071"/>
    </row>
    <row r="184" spans="1:15" ht="12.6" customHeight="1" x14ac:dyDescent="0.2">
      <c r="A184" s="506" t="s">
        <v>153</v>
      </c>
      <c r="B184" s="196" t="s">
        <v>423</v>
      </c>
      <c r="C184" s="194">
        <f>'Order form'!F476</f>
        <v>8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84</v>
      </c>
      <c r="H184" s="189">
        <v>1.881</v>
      </c>
      <c r="I184" s="190">
        <f t="shared" ref="I184:I188" si="30">C184*H184</f>
        <v>15.048</v>
      </c>
      <c r="J184" s="190" t="s">
        <v>22</v>
      </c>
      <c r="K184" s="190">
        <f>'Order form'!G477</f>
        <v>40</v>
      </c>
      <c r="L184" s="190">
        <f t="shared" si="26"/>
        <v>0.2</v>
      </c>
      <c r="M184" s="195">
        <f t="shared" si="27"/>
        <v>75.239999999999995</v>
      </c>
      <c r="N184" s="194">
        <f t="shared" si="19"/>
        <v>28</v>
      </c>
      <c r="O184" s="1071"/>
    </row>
    <row r="185" spans="1:15" ht="12.6" customHeight="1" x14ac:dyDescent="0.2">
      <c r="A185" s="506" t="s">
        <v>153</v>
      </c>
      <c r="B185" s="196" t="s">
        <v>423</v>
      </c>
      <c r="C185" s="194">
        <f>'Order form'!K476</f>
        <v>4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34</v>
      </c>
      <c r="H185" s="189">
        <v>1.804</v>
      </c>
      <c r="I185" s="190">
        <f t="shared" si="30"/>
        <v>7.2160000000000002</v>
      </c>
      <c r="J185" s="190" t="s">
        <v>22</v>
      </c>
      <c r="K185" s="190">
        <f>'Order form'!L477</f>
        <v>40</v>
      </c>
      <c r="L185" s="190">
        <f t="shared" si="26"/>
        <v>0.1</v>
      </c>
      <c r="M185" s="195">
        <f t="shared" si="27"/>
        <v>72.16</v>
      </c>
      <c r="N185" s="194">
        <f t="shared" si="19"/>
        <v>29</v>
      </c>
      <c r="O185" s="1071"/>
    </row>
    <row r="186" spans="1:15" ht="12.6" customHeight="1" x14ac:dyDescent="0.2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29</v>
      </c>
      <c r="O186" s="1071"/>
    </row>
    <row r="187" spans="1:15" ht="12.6" customHeight="1" x14ac:dyDescent="0.2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29</v>
      </c>
      <c r="O187" s="1071"/>
    </row>
    <row r="188" spans="1:15" ht="12.6" customHeight="1" x14ac:dyDescent="0.2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29</v>
      </c>
      <c r="O188" s="1071"/>
    </row>
    <row r="189" spans="1:15" ht="12.6" customHeight="1" x14ac:dyDescent="0.2">
      <c r="A189" s="506" t="s">
        <v>153</v>
      </c>
      <c r="B189" s="196" t="s">
        <v>423</v>
      </c>
      <c r="C189" s="194">
        <f>'Order form'!F487</f>
        <v>0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0</v>
      </c>
      <c r="H189" s="189">
        <v>2.34</v>
      </c>
      <c r="I189" s="190">
        <f t="shared" ref="I189:I193" si="33">C189*H189</f>
        <v>0</v>
      </c>
      <c r="J189" s="190" t="s">
        <v>22</v>
      </c>
      <c r="K189" s="190">
        <f>'Order form'!G488</f>
        <v>12</v>
      </c>
      <c r="L189" s="190">
        <f t="shared" ref="L189" si="34">C189/K189</f>
        <v>0</v>
      </c>
      <c r="M189" s="195">
        <f t="shared" ref="M189" si="35">K189*H189</f>
        <v>28.08</v>
      </c>
      <c r="N189" s="194">
        <f t="shared" si="19"/>
        <v>29</v>
      </c>
      <c r="O189" s="1071"/>
    </row>
    <row r="190" spans="1:15" ht="12.6" customHeight="1" x14ac:dyDescent="0.2">
      <c r="A190" s="506" t="s">
        <v>153</v>
      </c>
      <c r="B190" s="196" t="s">
        <v>423</v>
      </c>
      <c r="C190" s="194">
        <f>'Order form'!K487</f>
        <v>0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0</v>
      </c>
      <c r="H190" s="189">
        <v>1.595</v>
      </c>
      <c r="I190" s="190">
        <f t="shared" si="33"/>
        <v>0</v>
      </c>
      <c r="J190" s="190" t="s">
        <v>22</v>
      </c>
      <c r="K190" s="190">
        <f>'Order form'!L488</f>
        <v>12</v>
      </c>
      <c r="L190" s="190">
        <f t="shared" ref="L190:L194" si="36">C190/K190</f>
        <v>0</v>
      </c>
      <c r="M190" s="195">
        <f t="shared" ref="M190:M194" si="37">K190*H190</f>
        <v>19.14</v>
      </c>
      <c r="N190" s="194">
        <f t="shared" si="19"/>
        <v>29</v>
      </c>
      <c r="O190" s="1071"/>
    </row>
    <row r="191" spans="1:15" ht="12.6" customHeight="1" x14ac:dyDescent="0.2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29</v>
      </c>
      <c r="O191" s="1071"/>
    </row>
    <row r="192" spans="1:15" ht="12.6" customHeight="1" x14ac:dyDescent="0.2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29</v>
      </c>
      <c r="O192" s="1071"/>
    </row>
    <row r="193" spans="1:15" ht="12.6" customHeight="1" x14ac:dyDescent="0.2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29</v>
      </c>
      <c r="O193" s="1072"/>
    </row>
    <row r="194" spans="1:15" s="325" customFormat="1" ht="12.6" customHeight="1" x14ac:dyDescent="0.2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29</v>
      </c>
      <c r="O194" s="1067" t="e">
        <f>SUM(G194:G202)</f>
        <v>#VALUE!</v>
      </c>
    </row>
    <row r="195" spans="1:15" s="325" customFormat="1" x14ac:dyDescent="0.2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29</v>
      </c>
      <c r="O195" s="1070"/>
    </row>
    <row r="196" spans="1:15" s="325" customFormat="1" x14ac:dyDescent="0.2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29</v>
      </c>
      <c r="O196" s="1070"/>
    </row>
    <row r="197" spans="1:15" s="325" customFormat="1" x14ac:dyDescent="0.2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29</v>
      </c>
      <c r="O197" s="1070"/>
    </row>
    <row r="198" spans="1:15" s="325" customFormat="1" x14ac:dyDescent="0.2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29</v>
      </c>
      <c r="O198" s="1070"/>
    </row>
    <row r="199" spans="1:15" s="325" customFormat="1" x14ac:dyDescent="0.2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29</v>
      </c>
      <c r="O199" s="1070"/>
    </row>
    <row r="200" spans="1:15" s="325" customFormat="1" x14ac:dyDescent="0.2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29</v>
      </c>
      <c r="O200" s="1070"/>
    </row>
    <row r="201" spans="1:15" s="325" customFormat="1" x14ac:dyDescent="0.2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29</v>
      </c>
      <c r="O201" s="1070"/>
    </row>
    <row r="202" spans="1:15" s="325" customFormat="1" x14ac:dyDescent="0.2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29</v>
      </c>
      <c r="O202" s="1070"/>
    </row>
    <row r="203" spans="1:15" s="325" customFormat="1" x14ac:dyDescent="0.2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29</v>
      </c>
      <c r="O203" s="1076">
        <f>SUM(G203:G211)</f>
        <v>0</v>
      </c>
    </row>
    <row r="204" spans="1:15" s="325" customFormat="1" x14ac:dyDescent="0.2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29</v>
      </c>
      <c r="O204" s="1076"/>
    </row>
    <row r="205" spans="1:15" s="325" customFormat="1" x14ac:dyDescent="0.2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29</v>
      </c>
      <c r="O205" s="1076"/>
    </row>
    <row r="206" spans="1:15" s="325" customFormat="1" x14ac:dyDescent="0.2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29</v>
      </c>
      <c r="O206" s="1076"/>
    </row>
    <row r="207" spans="1:15" s="325" customFormat="1" x14ac:dyDescent="0.2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29</v>
      </c>
      <c r="O207" s="1076"/>
    </row>
    <row r="208" spans="1:15" s="325" customFormat="1" x14ac:dyDescent="0.2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29</v>
      </c>
      <c r="O208" s="1076"/>
    </row>
    <row r="209" spans="1:15" s="325" customFormat="1" x14ac:dyDescent="0.2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29</v>
      </c>
      <c r="O209" s="1076"/>
    </row>
    <row r="210" spans="1:15" s="325" customFormat="1" x14ac:dyDescent="0.2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29</v>
      </c>
      <c r="O210" s="1076"/>
    </row>
    <row r="211" spans="1:15" s="325" customFormat="1" x14ac:dyDescent="0.2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29</v>
      </c>
      <c r="O211" s="1077"/>
    </row>
    <row r="212" spans="1:15" s="325" customFormat="1" x14ac:dyDescent="0.2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29</v>
      </c>
      <c r="O212" s="1067">
        <f>SUM(G212:G226)</f>
        <v>0</v>
      </c>
    </row>
    <row r="213" spans="1:15" s="325" customFormat="1" x14ac:dyDescent="0.2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29</v>
      </c>
      <c r="O213" s="1070"/>
    </row>
    <row r="214" spans="1:15" s="325" customFormat="1" x14ac:dyDescent="0.2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29</v>
      </c>
      <c r="O214" s="1070"/>
    </row>
    <row r="215" spans="1:15" s="325" customFormat="1" x14ac:dyDescent="0.2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29</v>
      </c>
      <c r="O215" s="1070"/>
    </row>
    <row r="216" spans="1:15" s="325" customFormat="1" x14ac:dyDescent="0.2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29</v>
      </c>
      <c r="O216" s="1070"/>
    </row>
    <row r="217" spans="1:15" s="325" customFormat="1" x14ac:dyDescent="0.2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29</v>
      </c>
      <c r="O217" s="1070"/>
    </row>
    <row r="218" spans="1:15" s="325" customFormat="1" x14ac:dyDescent="0.2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29</v>
      </c>
      <c r="O218" s="1070"/>
    </row>
    <row r="219" spans="1:15" s="325" customFormat="1" x14ac:dyDescent="0.2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29</v>
      </c>
      <c r="O219" s="1070"/>
    </row>
    <row r="220" spans="1:15" s="325" customFormat="1" x14ac:dyDescent="0.2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29</v>
      </c>
      <c r="O220" s="1070"/>
    </row>
    <row r="221" spans="1:15" s="325" customFormat="1" x14ac:dyDescent="0.2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29</v>
      </c>
      <c r="O221" s="1070"/>
    </row>
    <row r="222" spans="1:15" s="325" customFormat="1" x14ac:dyDescent="0.2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29</v>
      </c>
      <c r="O222" s="1070"/>
    </row>
    <row r="223" spans="1:15" s="325" customFormat="1" x14ac:dyDescent="0.2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29</v>
      </c>
      <c r="O223" s="1070"/>
    </row>
    <row r="224" spans="1:15" s="325" customFormat="1" x14ac:dyDescent="0.2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29</v>
      </c>
      <c r="O224" s="1070"/>
    </row>
    <row r="225" spans="1:16" s="325" customFormat="1" x14ac:dyDescent="0.2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29</v>
      </c>
      <c r="O225" s="1070"/>
    </row>
    <row r="226" spans="1:16" s="325" customFormat="1" x14ac:dyDescent="0.2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29</v>
      </c>
      <c r="O226" s="1078"/>
    </row>
    <row r="227" spans="1:16" x14ac:dyDescent="0.2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29</v>
      </c>
      <c r="O227" s="191"/>
      <c r="P227" s="166" t="s">
        <v>406</v>
      </c>
    </row>
    <row r="228" spans="1:16" x14ac:dyDescent="0.2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29</v>
      </c>
      <c r="O228" s="191"/>
      <c r="P228" s="166" t="s">
        <v>406</v>
      </c>
    </row>
    <row r="229" spans="1:16" s="200" customFormat="1" x14ac:dyDescent="0.2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29</v>
      </c>
      <c r="O229" s="191"/>
      <c r="P229" s="166" t="s">
        <v>405</v>
      </c>
    </row>
    <row r="230" spans="1:16" s="200" customFormat="1" x14ac:dyDescent="0.2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29</v>
      </c>
      <c r="O230" s="191"/>
      <c r="P230" s="166" t="s">
        <v>405</v>
      </c>
    </row>
    <row r="231" spans="1:16" s="200" customFormat="1" x14ac:dyDescent="0.2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29</v>
      </c>
      <c r="O231" s="191"/>
      <c r="P231" s="166" t="s">
        <v>405</v>
      </c>
    </row>
    <row r="232" spans="1:16" ht="6" customHeight="1" x14ac:dyDescent="0.2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.75" x14ac:dyDescent="0.3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581.88540000000012</v>
      </c>
      <c r="J233" s="203"/>
      <c r="K233" s="203"/>
      <c r="L233" s="203"/>
      <c r="M233" s="206"/>
      <c r="N233" s="203"/>
      <c r="O233" s="203"/>
    </row>
    <row r="234" spans="1:16" x14ac:dyDescent="0.2">
      <c r="F234" s="166"/>
      <c r="G234" s="166"/>
      <c r="H234" s="1074" t="s">
        <v>102</v>
      </c>
      <c r="I234" s="1074"/>
      <c r="J234" s="1074"/>
      <c r="K234" s="1074"/>
      <c r="L234" s="166">
        <f>ROUNDUP(L4+L5+L6+L7+L8+L9+L10+L11+L12+L13+L21+L22,0)</f>
        <v>14</v>
      </c>
    </row>
    <row r="235" spans="1:16" x14ac:dyDescent="0.2">
      <c r="F235" s="166"/>
      <c r="G235" s="166"/>
      <c r="H235" s="1075" t="s">
        <v>388</v>
      </c>
      <c r="I235" s="1075"/>
      <c r="J235" s="1075"/>
      <c r="K235" s="1075"/>
      <c r="L235" s="166">
        <f>ROUNDUP(SUM(L14:L20)+SUM(L28:L49)+SUM(L70:L89)+SUM(L110:L150)+SUM(L155:L174)+SUM(L177:L188)+SUM(L203:L211),0)</f>
        <v>11</v>
      </c>
    </row>
    <row r="236" spans="1:16" x14ac:dyDescent="0.2">
      <c r="F236" s="166"/>
      <c r="G236" s="166"/>
      <c r="H236" s="1075" t="s">
        <v>606</v>
      </c>
      <c r="I236" s="1075"/>
      <c r="J236" s="1075"/>
      <c r="K236" s="1075"/>
      <c r="L236" s="166">
        <f>ROUNDUP(SUM(L151:L154)+SUM(L194:L198),0)</f>
        <v>0</v>
      </c>
    </row>
    <row r="237" spans="1:16" x14ac:dyDescent="0.2">
      <c r="F237" s="166"/>
      <c r="G237" s="166"/>
      <c r="H237" s="1075"/>
      <c r="I237" s="1075"/>
      <c r="J237" s="1075"/>
      <c r="K237" s="1075"/>
    </row>
    <row r="238" spans="1:16" x14ac:dyDescent="0.2">
      <c r="C238" s="190" t="str">
        <f>Quotation!B51</f>
        <v>TRANSPORT SHOULD BE DONE BY:</v>
      </c>
      <c r="D238" s="196" t="s">
        <v>31</v>
      </c>
      <c r="E238" s="196">
        <f>Quotation!D51</f>
        <v>581.88540000000012</v>
      </c>
      <c r="F238" s="208">
        <v>0</v>
      </c>
      <c r="G238" s="209">
        <v>0</v>
      </c>
      <c r="I238" s="185"/>
      <c r="J238" s="185"/>
      <c r="K238" s="185"/>
    </row>
    <row r="239" spans="1:16" x14ac:dyDescent="0.2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">
      <c r="C242" s="1079" t="s">
        <v>105</v>
      </c>
      <c r="D242" s="214">
        <f>IF(I233&gt;150,IF((L234+L236)&gt;0,IF(I233&gt;1500,2,1),0),0)</f>
        <v>1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">
      <c r="C243" s="1080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">
      <c r="C244" s="1081"/>
      <c r="D244" s="214"/>
      <c r="E244" s="214"/>
      <c r="F244" s="217"/>
      <c r="G244" s="216">
        <f t="shared" si="47"/>
        <v>1</v>
      </c>
    </row>
    <row r="245" spans="3:9" x14ac:dyDescent="0.2">
      <c r="D245" s="166">
        <f>SUM(D239:D243)</f>
        <v>1</v>
      </c>
    </row>
    <row r="246" spans="3:9" x14ac:dyDescent="0.2">
      <c r="E246" s="185" t="s">
        <v>607</v>
      </c>
    </row>
    <row r="247" spans="3:9" x14ac:dyDescent="0.2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3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94" t="s">
        <v>468</v>
      </c>
      <c r="C1" s="1095"/>
      <c r="D1" s="1098"/>
      <c r="E1" s="1099"/>
      <c r="F1" s="1102"/>
      <c r="G1" s="1104" t="s">
        <v>115</v>
      </c>
      <c r="H1" s="1105"/>
      <c r="I1" s="1105"/>
      <c r="J1" s="1106"/>
    </row>
    <row r="2" spans="1:15" ht="4.3499999999999996" customHeight="1" thickBot="1" x14ac:dyDescent="0.25">
      <c r="A2" s="1"/>
      <c r="B2" s="1096"/>
      <c r="C2" s="1097"/>
      <c r="D2" s="1100"/>
      <c r="E2" s="1101"/>
      <c r="F2" s="1103"/>
      <c r="G2" s="1107"/>
      <c r="H2" s="1108"/>
      <c r="I2" s="1108"/>
      <c r="J2" s="1109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10"/>
      <c r="J9" s="1111"/>
      <c r="L9" s="1"/>
      <c r="O9" s="6"/>
    </row>
    <row r="10" spans="1:15" ht="13.5" thickBot="1" x14ac:dyDescent="0.25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12" t="s">
        <v>125</v>
      </c>
      <c r="C13" s="1113"/>
      <c r="D13" s="1114"/>
      <c r="E13" s="1114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18" t="str">
        <f>'Order form'!H579</f>
        <v>Please write you account number if collect</v>
      </c>
      <c r="I20" s="1118"/>
      <c r="J20" s="1119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20" t="str">
        <f>Quotation!D52</f>
        <v>Wood skids 96'' X 48'' X 35'' (H)</v>
      </c>
      <c r="I21" s="1120"/>
      <c r="J21" s="1121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2" t="e">
        <f>Resume!#REF!</f>
        <v>#REF!</v>
      </c>
      <c r="I22" s="1122"/>
      <c r="J22" s="1123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15"/>
      <c r="I23" s="1115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16" t="str">
        <f>VLOOKUP(G1,E99:Z101,14)</f>
        <v>DESCRIPTION</v>
      </c>
      <c r="H25" s="1117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92"/>
      <c r="H26" s="1093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92"/>
      <c r="H27" s="1093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50</v>
      </c>
      <c r="F28" s="159" t="str">
        <f>IFERROR(INDEX(Resume!$A$3:$F$228,MATCH(ROW($B1),Resume!$N$3:$N$228,0),MATCH('Commercial Invoice'!F$25,Resume!$A$2:$F$2,0)),"")</f>
        <v>P-96-BL</v>
      </c>
      <c r="G28" s="1082" t="str">
        <f>IFERROR(INDEX(Resume!$A$3:$F$228,MATCH(ROW($B1),Resume!$N$3:$N$228,0),MATCH('Commercial Invoice'!G$25,Resume!$A$2:$F$2,0)),"")</f>
        <v>Blue 8' steel pipe PE coated</v>
      </c>
      <c r="H28" s="1083"/>
      <c r="I28" s="160">
        <f>IFERROR(INDEX(Resume!$A$3:$F$228,MATCH(ROW($B1),Resume!$N$3:$N$228,0),MATCH('Commercial Invoice'!I$25,Resume!$A$2:$F$2,0)),"")</f>
        <v>8.9499999999999993</v>
      </c>
      <c r="J28" s="158">
        <f t="shared" ref="J28:J60" si="0">IFERROR(I28*E28,"")</f>
        <v>447.49999999999994</v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10</v>
      </c>
      <c r="F29" s="159" t="str">
        <f>IFERROR(INDEX(Resume!$A$3:$F$228,MATCH(ROW($B2),Resume!$N$3:$N$228,0),MATCH('Commercial Invoice'!F$25,Resume!$A$2:$F$2,0)),"")</f>
        <v>EP-96-ST</v>
      </c>
      <c r="G29" s="1082" t="str">
        <f>IFERROR(INDEX(Resume!$A$3:$F$228,MATCH(ROW($B2),Resume!$N$3:$N$228,0),MATCH('Commercial Invoice'!G$25,Resume!$A$2:$F$2,0)),"")</f>
        <v>Stainless steel 8' pipe</v>
      </c>
      <c r="H29" s="1083"/>
      <c r="I29" s="160">
        <f>IFERROR(INDEX(Resume!$A$3:$F$228,MATCH(ROW($B2),Resume!$N$3:$N$228,0),MATCH('Commercial Invoice'!I$25,Resume!$A$2:$F$2,0)),"")</f>
        <v>10.75</v>
      </c>
      <c r="J29" s="158">
        <f t="shared" si="0"/>
        <v>107.5</v>
      </c>
    </row>
    <row r="30" spans="1:15" ht="13.15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30</v>
      </c>
      <c r="F30" s="159" t="str">
        <f>IFERROR(INDEX(Resume!$A$3:$F$228,MATCH(ROW($B3),Resume!$N$3:$N$228,0),MATCH('Commercial Invoice'!F$25,Resume!$A$2:$F$2,0)),"")</f>
        <v>R40-RT96</v>
      </c>
      <c r="G30" s="1082" t="str">
        <f>IFERROR(INDEX(Resume!$A$3:$F$228,MATCH(ROW($B3),Resume!$N$3:$N$228,0),MATCH('Commercial Invoice'!G$25,Resume!$A$2:$F$2,0)),"")</f>
        <v>8' Steel roller track (ESD)</v>
      </c>
      <c r="H30" s="1083"/>
      <c r="I30" s="160">
        <f>IFERROR(INDEX(Resume!$A$3:$F$228,MATCH(ROW($B3),Resume!$N$3:$N$228,0),MATCH('Commercial Invoice'!I$25,Resume!$A$2:$F$2,0)),"")</f>
        <v>24</v>
      </c>
      <c r="J30" s="158">
        <f t="shared" si="0"/>
        <v>720</v>
      </c>
      <c r="L30" s="11"/>
    </row>
    <row r="31" spans="1:15" ht="13.15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42</v>
      </c>
      <c r="F31" s="159" t="str">
        <f>IFERROR(INDEX(Resume!$A$3:$F$228,MATCH(ROW($B4),Resume!$N$3:$N$228,0),MATCH('Commercial Invoice'!F$25,Resume!$A$2:$F$2,0)),"")</f>
        <v>R40-MS</v>
      </c>
      <c r="G31" s="1082" t="str">
        <f>IFERROR(INDEX(Resume!$A$3:$F$228,MATCH(ROW($B4),Resume!$N$3:$N$228,0),MATCH('Commercial Invoice'!G$25,Resume!$A$2:$F$2,0)),"")</f>
        <v>Track mount start steel zinc</v>
      </c>
      <c r="H31" s="1083"/>
      <c r="I31" s="160">
        <f>IFERROR(INDEX(Resume!$A$3:$F$228,MATCH(ROW($B4),Resume!$N$3:$N$228,0),MATCH('Commercial Invoice'!I$25,Resume!$A$2:$F$2,0)),"")</f>
        <v>1.55</v>
      </c>
      <c r="J31" s="158">
        <f t="shared" si="0"/>
        <v>65.100000000000009</v>
      </c>
    </row>
    <row r="32" spans="1:15" ht="13.15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4</v>
      </c>
      <c r="F32" s="159" t="str">
        <f>IFERROR(INDEX(Resume!$A$3:$F$228,MATCH(ROW($B5),Resume!$N$3:$N$228,0),MATCH('Commercial Invoice'!F$25,Resume!$A$2:$F$2,0)),"")</f>
        <v>R40-TS</v>
      </c>
      <c r="G32" s="1082" t="str">
        <f>IFERROR(INDEX(Resume!$A$3:$F$228,MATCH(ROW($B5),Resume!$N$3:$N$228,0),MATCH('Commercial Invoice'!G$25,Resume!$A$2:$F$2,0)),"")</f>
        <v>Track mount tab stop steel zinc</v>
      </c>
      <c r="H32" s="1083"/>
      <c r="I32" s="160">
        <f>IFERROR(INDEX(Resume!$A$3:$F$228,MATCH(ROW($B5),Resume!$N$3:$N$228,0),MATCH('Commercial Invoice'!I$25,Resume!$A$2:$F$2,0)),"")</f>
        <v>1.9</v>
      </c>
      <c r="J32" s="158">
        <f t="shared" si="0"/>
        <v>7.6</v>
      </c>
    </row>
    <row r="33" spans="1:12" ht="13.15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6</v>
      </c>
      <c r="F33" s="159" t="str">
        <f>IFERROR(INDEX(Resume!$A$3:$F$228,MATCH(ROW($B6),Resume!$N$3:$N$228,0),MATCH('Commercial Invoice'!F$25,Resume!$A$2:$F$2,0)),"")</f>
        <v>R40-TU</v>
      </c>
      <c r="G33" s="1082" t="str">
        <f>IFERROR(INDEX(Resume!$A$3:$F$228,MATCH(ROW($B6),Resume!$N$3:$N$228,0),MATCH('Commercial Invoice'!G$25,Resume!$A$2:$F$2,0)),"")</f>
        <v>Track union steel zinc</v>
      </c>
      <c r="H33" s="1083"/>
      <c r="I33" s="160">
        <f>IFERROR(INDEX(Resume!$A$3:$F$228,MATCH(ROW($B6),Resume!$N$3:$N$228,0),MATCH('Commercial Invoice'!I$25,Resume!$A$2:$F$2,0)),"")</f>
        <v>3</v>
      </c>
      <c r="J33" s="158">
        <f t="shared" si="0"/>
        <v>18</v>
      </c>
    </row>
    <row r="34" spans="1:12" ht="13.15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42</v>
      </c>
      <c r="F34" s="159" t="str">
        <f>IFERROR(INDEX(Resume!$A$3:$F$228,MATCH(ROW($B7),Resume!$N$3:$N$228,0),MATCH('Commercial Invoice'!F$25,Resume!$A$2:$F$2,0)),"")</f>
        <v>R40-DS</v>
      </c>
      <c r="G34" s="1082" t="str">
        <f>IFERROR(INDEX(Resume!$A$3:$F$228,MATCH(ROW($B7),Resume!$N$3:$N$228,0),MATCH('Commercial Invoice'!G$25,Resume!$A$2:$F$2,0)),"")</f>
        <v>Track mount drop stop steel zinc</v>
      </c>
      <c r="H34" s="1083"/>
      <c r="I34" s="160">
        <f>IFERROR(INDEX(Resume!$A$3:$F$228,MATCH(ROW($B7),Resume!$N$3:$N$228,0),MATCH('Commercial Invoice'!I$25,Resume!$A$2:$F$2,0)),"")</f>
        <v>1.7</v>
      </c>
      <c r="J34" s="158">
        <f t="shared" si="0"/>
        <v>71.399999999999991</v>
      </c>
      <c r="L34" s="11"/>
    </row>
    <row r="35" spans="1:12" s="18" customFormat="1" ht="13.15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4</v>
      </c>
      <c r="F35" s="159" t="str">
        <f>IFERROR(INDEX(Resume!$A$3:$F$228,MATCH(ROW($B8),Resume!$N$3:$N$228,0),MATCH('Commercial Invoice'!F$25,Resume!$A$2:$F$2,0)),"")</f>
        <v>R40-TC</v>
      </c>
      <c r="G35" s="1082" t="str">
        <f>IFERROR(INDEX(Resume!$A$3:$F$228,MATCH(ROW($B8),Resume!$N$3:$N$228,0),MATCH('Commercial Invoice'!G$25,Resume!$A$2:$F$2,0)),"")</f>
        <v>Track connector steel zinc</v>
      </c>
      <c r="H35" s="1083"/>
      <c r="I35" s="160">
        <f>IFERROR(INDEX(Resume!$A$3:$F$228,MATCH(ROW($B8),Resume!$N$3:$N$228,0),MATCH('Commercial Invoice'!I$25,Resume!$A$2:$F$2,0)),"")</f>
        <v>3</v>
      </c>
      <c r="J35" s="158">
        <f t="shared" si="0"/>
        <v>12</v>
      </c>
      <c r="L35" s="5"/>
    </row>
    <row r="36" spans="1:12" ht="13.15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4</v>
      </c>
      <c r="F36" s="159" t="str">
        <f>IFERROR(INDEX(Resume!$A$3:$F$228,MATCH(ROW($B9),Resume!$N$3:$N$228,0),MATCH('Commercial Invoice'!F$25,Resume!$A$2:$F$2,0)),"")</f>
        <v>R40-GUIDE</v>
      </c>
      <c r="G36" s="1082" t="str">
        <f>IFERROR(INDEX(Resume!$A$3:$F$228,MATCH(ROW($B9),Resume!$N$3:$N$228,0),MATCH('Commercial Invoice'!G$25,Resume!$A$2:$F$2,0)),"")</f>
        <v>8' PE plastic roller guide</v>
      </c>
      <c r="H36" s="1083"/>
      <c r="I36" s="160">
        <f>IFERROR(INDEX(Resume!$A$3:$F$228,MATCH(ROW($B9),Resume!$N$3:$N$228,0),MATCH('Commercial Invoice'!I$25,Resume!$A$2:$F$2,0)),"")</f>
        <v>22.5</v>
      </c>
      <c r="J36" s="158">
        <f t="shared" si="0"/>
        <v>90</v>
      </c>
    </row>
    <row r="37" spans="1:12" ht="13.15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180</v>
      </c>
      <c r="F37" s="159" t="str">
        <f>IFERROR(INDEX(Resume!$A$3:$F$228,MATCH(ROW($B10),Resume!$N$3:$N$228,0),MATCH('Commercial Invoice'!F$25,Resume!$A$2:$F$2,0)),"")</f>
        <v>H-1</v>
      </c>
      <c r="G37" s="1082" t="str">
        <f>IFERROR(INDEX(Resume!$A$3:$F$228,MATCH(ROW($B10),Resume!$N$3:$N$228,0),MATCH('Commercial Invoice'!G$25,Resume!$A$2:$F$2,0)),"")</f>
        <v>Standard tee joint steel black</v>
      </c>
      <c r="H37" s="1083"/>
      <c r="I37" s="160">
        <f>IFERROR(INDEX(Resume!$A$3:$F$228,MATCH(ROW($B10),Resume!$N$3:$N$228,0),MATCH('Commercial Invoice'!I$25,Resume!$A$2:$F$2,0)),"")</f>
        <v>0.55000000000000004</v>
      </c>
      <c r="J37" s="158">
        <f t="shared" si="0"/>
        <v>99.000000000000014</v>
      </c>
    </row>
    <row r="38" spans="1:12" ht="13.15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20</v>
      </c>
      <c r="F38" s="159" t="str">
        <f>IFERROR(INDEX(Resume!$A$3:$F$228,MATCH(ROW($B11),Resume!$N$3:$N$228,0),MATCH('Commercial Invoice'!F$25,Resume!$A$2:$F$2,0)),"")</f>
        <v>H-2</v>
      </c>
      <c r="G38" s="1082" t="str">
        <f>IFERROR(INDEX(Resume!$A$3:$F$228,MATCH(ROW($B11),Resume!$N$3:$N$228,0),MATCH('Commercial Invoice'!G$25,Resume!$A$2:$F$2,0)),"")</f>
        <v>Inner corner joint steel black</v>
      </c>
      <c r="H38" s="1083"/>
      <c r="I38" s="160">
        <f>IFERROR(INDEX(Resume!$A$3:$F$228,MATCH(ROW($B11),Resume!$N$3:$N$228,0),MATCH('Commercial Invoice'!I$25,Resume!$A$2:$F$2,0)),"")</f>
        <v>0.9</v>
      </c>
      <c r="J38" s="158">
        <f t="shared" si="0"/>
        <v>18</v>
      </c>
    </row>
    <row r="39" spans="1:12" ht="13.15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16</v>
      </c>
      <c r="F39" s="159" t="str">
        <f>IFERROR(INDEX(Resume!$A$3:$F$228,MATCH(ROW($B12),Resume!$N$3:$N$228,0),MATCH('Commercial Invoice'!F$25,Resume!$A$2:$F$2,0)),"")</f>
        <v>H-3</v>
      </c>
      <c r="G39" s="1082" t="str">
        <f>IFERROR(INDEX(Resume!$A$3:$F$228,MATCH(ROW($B12),Resume!$N$3:$N$228,0),MATCH('Commercial Invoice'!G$25,Resume!$A$2:$F$2,0)),"")</f>
        <v>Outer corner joint steel black</v>
      </c>
      <c r="H39" s="1083"/>
      <c r="I39" s="160">
        <f>IFERROR(INDEX(Resume!$A$3:$F$228,MATCH(ROW($B12),Resume!$N$3:$N$228,0),MATCH('Commercial Invoice'!I$25,Resume!$A$2:$F$2,0)),"")</f>
        <v>0.95</v>
      </c>
      <c r="J39" s="158">
        <f t="shared" si="0"/>
        <v>15.2</v>
      </c>
    </row>
    <row r="40" spans="1:12" ht="13.15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34</v>
      </c>
      <c r="F40" s="159" t="str">
        <f>IFERROR(INDEX(Resume!$A$3:$F$228,MATCH(ROW($B13),Resume!$N$3:$N$228,0),MATCH('Commercial Invoice'!F$25,Resume!$A$2:$F$2,0)),"")</f>
        <v>H-4</v>
      </c>
      <c r="G40" s="1082" t="str">
        <f>IFERROR(INDEX(Resume!$A$3:$F$228,MATCH(ROW($B13),Resume!$N$3:$N$228,0),MATCH('Commercial Invoice'!G$25,Resume!$A$2:$F$2,0)),"")</f>
        <v>Cross junction joint steel black</v>
      </c>
      <c r="H40" s="1083"/>
      <c r="I40" s="160">
        <f>IFERROR(INDEX(Resume!$A$3:$F$228,MATCH(ROW($B13),Resume!$N$3:$N$228,0),MATCH('Commercial Invoice'!I$25,Resume!$A$2:$F$2,0)),"")</f>
        <v>0.85</v>
      </c>
      <c r="J40" s="158">
        <f t="shared" si="0"/>
        <v>28.9</v>
      </c>
    </row>
    <row r="41" spans="1:12" ht="13.15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16</v>
      </c>
      <c r="F41" s="159" t="str">
        <f>IFERROR(INDEX(Resume!$A$3:$F$228,MATCH(ROW($B14),Resume!$N$3:$N$228,0),MATCH('Commercial Invoice'!F$25,Resume!$A$2:$F$2,0)),"")</f>
        <v>H-7</v>
      </c>
      <c r="G41" s="1082" t="str">
        <f>IFERROR(INDEX(Resume!$A$3:$F$228,MATCH(ROW($B14),Resume!$N$3:$N$228,0),MATCH('Commercial Invoice'!G$25,Resume!$A$2:$F$2,0)),"")</f>
        <v>Intersection joint steel black</v>
      </c>
      <c r="H41" s="1083"/>
      <c r="I41" s="160">
        <f>IFERROR(INDEX(Resume!$A$3:$F$228,MATCH(ROW($B14),Resume!$N$3:$N$228,0),MATCH('Commercial Invoice'!I$25,Resume!$A$2:$F$2,0)),"")</f>
        <v>0.55000000000000004</v>
      </c>
      <c r="J41" s="158">
        <f t="shared" si="0"/>
        <v>8.8000000000000007</v>
      </c>
    </row>
    <row r="42" spans="1:12" ht="13.15" customHeight="1" x14ac:dyDescent="0.2">
      <c r="A42" s="1"/>
      <c r="B42" s="1"/>
      <c r="C42" s="10" t="str">
        <f>IFERROR(INDEX(Resume!$A$3:$F$228,MATCH(ROW($B15),Resume!$N$3:$N$228,0),MATCH('Commercial Invoice'!C$25,Resume!$A$2:$F$2,0)),"")</f>
        <v>CHINA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32</v>
      </c>
      <c r="F42" s="159" t="str">
        <f>IFERROR(INDEX(Resume!$A$3:$F$228,MATCH(ROW($B15),Resume!$N$3:$N$228,0),MATCH('Commercial Invoice'!F$25,Resume!$A$2:$F$2,0)),"")</f>
        <v>H-13</v>
      </c>
      <c r="G42" s="1082" t="str">
        <f>IFERROR(INDEX(Resume!$A$3:$F$228,MATCH(ROW($B15),Resume!$N$3:$N$228,0),MATCH('Commercial Invoice'!G$25,Resume!$A$2:$F$2,0)),"")</f>
        <v>Parallel joint steel black</v>
      </c>
      <c r="H42" s="1083"/>
      <c r="I42" s="160">
        <f>IFERROR(INDEX(Resume!$A$3:$F$228,MATCH(ROW($B15),Resume!$N$3:$N$228,0),MATCH('Commercial Invoice'!I$25,Resume!$A$2:$F$2,0)),"")</f>
        <v>0.59</v>
      </c>
      <c r="J42" s="158">
        <f t="shared" si="0"/>
        <v>18.88</v>
      </c>
      <c r="L42" s="11"/>
    </row>
    <row r="43" spans="1:12" ht="13.15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16</v>
      </c>
      <c r="F43" s="159" t="str">
        <f>IFERROR(INDEX(Resume!$A$3:$F$228,MATCH(ROW($B16),Resume!$N$3:$N$228,0),MATCH('Commercial Invoice'!F$25,Resume!$A$2:$F$2,0)),"")</f>
        <v>H-17</v>
      </c>
      <c r="G43" s="1082" t="str">
        <f>IFERROR(INDEX(Resume!$A$3:$F$228,MATCH(ROW($B16),Resume!$N$3:$N$228,0),MATCH('Commercial Invoice'!G$25,Resume!$A$2:$F$2,0)),"")</f>
        <v>45 angle A joint steel black</v>
      </c>
      <c r="H43" s="1083"/>
      <c r="I43" s="160">
        <f>IFERROR(INDEX(Resume!$A$3:$F$228,MATCH(ROW($B16),Resume!$N$3:$N$228,0),MATCH('Commercial Invoice'!I$25,Resume!$A$2:$F$2,0)),"")</f>
        <v>0.8</v>
      </c>
      <c r="J43" s="158">
        <f t="shared" si="0"/>
        <v>12.8</v>
      </c>
    </row>
    <row r="44" spans="1:12" ht="13.15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16</v>
      </c>
      <c r="F44" s="159" t="str">
        <f>IFERROR(INDEX(Resume!$A$3:$F$228,MATCH(ROW($B17),Resume!$N$3:$N$228,0),MATCH('Commercial Invoice'!F$25,Resume!$A$2:$F$2,0)),"")</f>
        <v>H-18</v>
      </c>
      <c r="G44" s="1082" t="str">
        <f>IFERROR(INDEX(Resume!$A$3:$F$228,MATCH(ROW($B17),Resume!$N$3:$N$228,0),MATCH('Commercial Invoice'!G$25,Resume!$A$2:$F$2,0)),"")</f>
        <v>45 angle B joint steel black</v>
      </c>
      <c r="H44" s="1083"/>
      <c r="I44" s="160">
        <f>IFERROR(INDEX(Resume!$A$3:$F$228,MATCH(ROW($B17),Resume!$N$3:$N$228,0),MATCH('Commercial Invoice'!I$25,Resume!$A$2:$F$2,0)),"")</f>
        <v>0.8</v>
      </c>
      <c r="J44" s="158">
        <f t="shared" si="0"/>
        <v>12.8</v>
      </c>
    </row>
    <row r="45" spans="1:12" ht="13.15" customHeight="1" x14ac:dyDescent="0.2">
      <c r="A45" s="1"/>
      <c r="B45" s="1"/>
      <c r="C45" s="10" t="str">
        <f>IFERROR(INDEX(Resume!$A$3:$F$228,MATCH(ROW($B18),Resume!$N$3:$N$228,0),MATCH('Commercial Invoice'!C$25,Resume!$A$2:$F$2,0)),"")</f>
        <v>CHINA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24</v>
      </c>
      <c r="F45" s="159" t="str">
        <f>IFERROR(INDEX(Resume!$A$3:$F$228,MATCH(ROW($B18),Resume!$N$3:$N$228,0),MATCH('Commercial Invoice'!F$25,Resume!$A$2:$F$2,0)),"")</f>
        <v>HJ-MS</v>
      </c>
      <c r="G45" s="1082" t="str">
        <f>IFERROR(INDEX(Resume!$A$3:$F$228,MATCH(ROW($B18),Resume!$N$3:$N$228,0),MATCH('Commercial Invoice'!G$25,Resume!$A$2:$F$2,0)),"")</f>
        <v>Pipe mount start steel zinc</v>
      </c>
      <c r="H45" s="1083"/>
      <c r="I45" s="160">
        <f>IFERROR(INDEX(Resume!$A$3:$F$228,MATCH(ROW($B18),Resume!$N$3:$N$228,0),MATCH('Commercial Invoice'!I$25,Resume!$A$2:$F$2,0)),"")</f>
        <v>1.7</v>
      </c>
      <c r="J45" s="158">
        <f t="shared" si="0"/>
        <v>40.799999999999997</v>
      </c>
    </row>
    <row r="46" spans="1:12" ht="13.15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24</v>
      </c>
      <c r="F46" s="159" t="str">
        <f>IFERROR(INDEX(Resume!$A$3:$F$228,MATCH(ROW($B19),Resume!$N$3:$N$228,0),MATCH('Commercial Invoice'!F$25,Resume!$A$2:$F$2,0)),"")</f>
        <v>HJ-DS</v>
      </c>
      <c r="G46" s="1082" t="str">
        <f>IFERROR(INDEX(Resume!$A$3:$F$228,MATCH(ROW($B19),Resume!$N$3:$N$228,0),MATCH('Commercial Invoice'!G$25,Resume!$A$2:$F$2,0)),"")</f>
        <v>Pipe mount drop stop steel zinc</v>
      </c>
      <c r="H46" s="1083"/>
      <c r="I46" s="160">
        <f>IFERROR(INDEX(Resume!$A$3:$F$228,MATCH(ROW($B19),Resume!$N$3:$N$228,0),MATCH('Commercial Invoice'!I$25,Resume!$A$2:$F$2,0)),"")</f>
        <v>1.8</v>
      </c>
      <c r="J46" s="158">
        <f t="shared" si="0"/>
        <v>43.2</v>
      </c>
    </row>
    <row r="47" spans="1:12" ht="13.15" customHeight="1" x14ac:dyDescent="0.2">
      <c r="A47" s="1"/>
      <c r="B47" s="1"/>
      <c r="C47" s="10" t="str">
        <f>IFERROR(INDEX(Resume!$A$3:$F$228,MATCH(ROW($B20),Resume!$N$3:$N$228,0),MATCH('Commercial Invoice'!C$25,Resume!$A$2:$F$2,0)),"")</f>
        <v>CHINA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10</v>
      </c>
      <c r="F47" s="159" t="str">
        <f>IFERROR(INDEX(Resume!$A$3:$F$228,MATCH(ROW($B20),Resume!$N$3:$N$228,0),MATCH('Commercial Invoice'!F$25,Resume!$A$2:$F$2,0)),"")</f>
        <v>AF-ILEV</v>
      </c>
      <c r="G47" s="1082" t="str">
        <f>IFERROR(INDEX(Resume!$A$3:$F$228,MATCH(ROW($B20),Resume!$N$3:$N$228,0),MATCH('Commercial Invoice'!G$25,Resume!$A$2:$F$2,0)),"")</f>
        <v>Adjust. inner foot steel zinc</v>
      </c>
      <c r="H47" s="1083"/>
      <c r="I47" s="160">
        <f>IFERROR(INDEX(Resume!$A$3:$F$228,MATCH(ROW($B20),Resume!$N$3:$N$228,0),MATCH('Commercial Invoice'!I$25,Resume!$A$2:$F$2,0)),"")</f>
        <v>2.4</v>
      </c>
      <c r="J47" s="158">
        <f t="shared" si="0"/>
        <v>24</v>
      </c>
    </row>
    <row r="48" spans="1:12" ht="13.15" customHeight="1" x14ac:dyDescent="0.2">
      <c r="A48" s="1"/>
      <c r="B48" s="1"/>
      <c r="C48" s="10" t="str">
        <f>IFERROR(INDEX(Resume!$A$3:$F$228,MATCH(ROW($B21),Resume!$N$3:$N$228,0),MATCH('Commercial Invoice'!C$25,Resume!$A$2:$F$2,0)),"")</f>
        <v>CHINA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170</v>
      </c>
      <c r="F48" s="159" t="str">
        <f>IFERROR(INDEX(Resume!$A$3:$F$228,MATCH(ROW($B21),Resume!$N$3:$N$228,0),MATCH('Commercial Invoice'!F$25,Resume!$A$2:$F$2,0)),"")</f>
        <v>M6-25B</v>
      </c>
      <c r="G48" s="1082" t="str">
        <f>IFERROR(INDEX(Resume!$A$3:$F$228,MATCH(ROW($B21),Resume!$N$3:$N$228,0),MATCH('Commercial Invoice'!G$25,Resume!$A$2:$F$2,0)),"")</f>
        <v>Bolt for joint set black zinc</v>
      </c>
      <c r="H48" s="1083"/>
      <c r="I48" s="160">
        <f>IFERROR(INDEX(Resume!$A$3:$F$228,MATCH(ROW($B21),Resume!$N$3:$N$228,0),MATCH('Commercial Invoice'!I$25,Resume!$A$2:$F$2,0)),"")</f>
        <v>0.08</v>
      </c>
      <c r="J48" s="158">
        <f t="shared" si="0"/>
        <v>13.6</v>
      </c>
    </row>
    <row r="49" spans="1:13" ht="13.15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170</v>
      </c>
      <c r="F49" s="159" t="str">
        <f>IFERROR(INDEX(Resume!$A$3:$F$228,MATCH(ROW($B22),Resume!$N$3:$N$228,0),MATCH('Commercial Invoice'!F$25,Resume!$A$2:$F$2,0)),"")</f>
        <v>M6-N</v>
      </c>
      <c r="G49" s="1082" t="str">
        <f>IFERROR(INDEX(Resume!$A$3:$F$228,MATCH(ROW($B22),Resume!$N$3:$N$228,0),MATCH('Commercial Invoice'!G$25,Resume!$A$2:$F$2,0)),"")</f>
        <v>Nut for joint set black zinc</v>
      </c>
      <c r="H49" s="1083"/>
      <c r="I49" s="160">
        <f>IFERROR(INDEX(Resume!$A$3:$F$228,MATCH(ROW($B22),Resume!$N$3:$N$228,0),MATCH('Commercial Invoice'!I$25,Resume!$A$2:$F$2,0)),"")</f>
        <v>7.0000000000000007E-2</v>
      </c>
      <c r="J49" s="158">
        <f t="shared" si="0"/>
        <v>11.9</v>
      </c>
      <c r="L49" s="11"/>
    </row>
    <row r="50" spans="1:13" ht="13.15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200</v>
      </c>
      <c r="F50" s="159" t="str">
        <f>IFERROR(INDEX(Resume!$A$3:$F$228,MATCH(ROW($B23),Resume!$N$3:$N$228,0),MATCH('Commercial Invoice'!F$25,Resume!$A$2:$F$2,0)),"")</f>
        <v>F-A85/8</v>
      </c>
      <c r="G50" s="1082" t="str">
        <f>IFERROR(INDEX(Resume!$A$3:$F$228,MATCH(ROW($B23),Resume!$N$3:$N$228,0),MATCH('Commercial Invoice'!G$25,Resume!$A$2:$F$2,0)),"")</f>
        <v xml:space="preserve">100x Drilling screws #8 X 5/8" </v>
      </c>
      <c r="H50" s="1083"/>
      <c r="I50" s="160">
        <f>IFERROR(INDEX(Resume!$A$3:$F$228,MATCH(ROW($B23),Resume!$N$3:$N$228,0),MATCH('Commercial Invoice'!I$25,Resume!$A$2:$F$2,0)),"")</f>
        <v>0.04</v>
      </c>
      <c r="J50" s="158">
        <f t="shared" si="0"/>
        <v>8</v>
      </c>
      <c r="L50" s="11"/>
    </row>
    <row r="51" spans="1:13" ht="13.15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24</v>
      </c>
      <c r="F51" s="159" t="str">
        <f>IFERROR(INDEX(Resume!$A$3:$F$228,MATCH(ROW($B24),Resume!$N$3:$N$228,0),MATCH('Commercial Invoice'!F$25,Resume!$A$2:$F$2,0)),"")</f>
        <v>WF-UP</v>
      </c>
      <c r="G51" s="1082" t="str">
        <f>IFERROR(INDEX(Resume!$A$3:$F$228,MATCH(ROW($B24),Resume!$N$3:$N$228,0),MATCH('Commercial Invoice'!G$25,Resume!$A$2:$F$2,0)),"")</f>
        <v>Caster up bracket steel zinc</v>
      </c>
      <c r="H51" s="1083"/>
      <c r="I51" s="160">
        <f>IFERROR(INDEX(Resume!$A$3:$F$228,MATCH(ROW($B24),Resume!$N$3:$N$228,0),MATCH('Commercial Invoice'!I$25,Resume!$A$2:$F$2,0)),"")</f>
        <v>0.8</v>
      </c>
      <c r="J51" s="158">
        <f t="shared" si="0"/>
        <v>19.200000000000003</v>
      </c>
      <c r="L51" s="11"/>
    </row>
    <row r="52" spans="1:13" ht="13.15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24</v>
      </c>
      <c r="F52" s="159" t="str">
        <f>IFERROR(INDEX(Resume!$A$3:$F$228,MATCH(ROW($B25),Resume!$N$3:$N$228,0),MATCH('Commercial Invoice'!F$25,Resume!$A$2:$F$2,0)),"")</f>
        <v>WF-LOW</v>
      </c>
      <c r="G52" s="1082" t="str">
        <f>IFERROR(INDEX(Resume!$A$3:$F$228,MATCH(ROW($B25),Resume!$N$3:$N$228,0),MATCH('Commercial Invoice'!G$25,Resume!$A$2:$F$2,0)),"")</f>
        <v>Caster low bracket steel zinc</v>
      </c>
      <c r="H52" s="1083"/>
      <c r="I52" s="160">
        <f>IFERROR(INDEX(Resume!$A$3:$F$228,MATCH(ROW($B25),Resume!$N$3:$N$228,0),MATCH('Commercial Invoice'!I$25,Resume!$A$2:$F$2,0)),"")</f>
        <v>0.8</v>
      </c>
      <c r="J52" s="158">
        <f t="shared" si="0"/>
        <v>19.200000000000003</v>
      </c>
      <c r="L52" s="11"/>
    </row>
    <row r="53" spans="1:13" ht="13.15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48</v>
      </c>
      <c r="F53" s="159" t="str">
        <f>IFERROR(INDEX(Resume!$A$3:$F$228,MATCH(ROW($B26),Resume!$N$3:$N$228,0),MATCH('Commercial Invoice'!F$25,Resume!$A$2:$F$2,0)),"")</f>
        <v>M8-35B</v>
      </c>
      <c r="G53" s="1082" t="str">
        <f>IFERROR(INDEX(Resume!$A$3:$F$228,MATCH(ROW($B26),Resume!$N$3:$N$228,0),MATCH('Commercial Invoice'!G$25,Resume!$A$2:$F$2,0)),"")</f>
        <v>Bolt for 4" caster white zinc (4 per caster)</v>
      </c>
      <c r="H53" s="1083"/>
      <c r="I53" s="160">
        <f>IFERROR(INDEX(Resume!$A$3:$F$228,MATCH(ROW($B26),Resume!$N$3:$N$228,0),MATCH('Commercial Invoice'!I$25,Resume!$A$2:$F$2,0)),"")</f>
        <v>0.15</v>
      </c>
      <c r="J53" s="158">
        <f t="shared" si="0"/>
        <v>7.1999999999999993</v>
      </c>
    </row>
    <row r="54" spans="1:13" ht="13.15" customHeight="1" x14ac:dyDescent="0.2">
      <c r="A54" s="1"/>
      <c r="B54" s="1"/>
      <c r="C54" s="10" t="str">
        <f>IFERROR(INDEX(Resume!$A$3:$F$228,MATCH(ROW($B27),Resume!$N$3:$N$228,0),MATCH('Commercial Invoice'!C$25,Resume!$A$2:$F$2,0)),"")</f>
        <v>CHINA</v>
      </c>
      <c r="D54" s="159" t="str">
        <f>IFERROR(INDEX(Resume!$A$3:$F$228,MATCH(ROW($B27),Resume!$N$3:$N$228,0),MATCH('Commercial Invoice'!D$25,Resume!$A$2:$F$2,0)),"")</f>
        <v/>
      </c>
      <c r="E54" s="159">
        <f>IFERROR(INDEX(Resume!$A$3:$F$228,MATCH(ROW($B27),Resume!$N$3:$N$228,0),MATCH('Commercial Invoice'!E$25,Resume!$A$2:$F$2,0)),"")</f>
        <v>48</v>
      </c>
      <c r="F54" s="159" t="str">
        <f>IFERROR(INDEX(Resume!$A$3:$F$228,MATCH(ROW($B27),Resume!$N$3:$N$228,0),MATCH('Commercial Invoice'!F$25,Resume!$A$2:$F$2,0)),"")</f>
        <v>M8-N</v>
      </c>
      <c r="G54" s="1082" t="str">
        <f>IFERROR(INDEX(Resume!$A$3:$F$228,MATCH(ROW($B27),Resume!$N$3:$N$228,0),MATCH('Commercial Invoice'!G$25,Resume!$A$2:$F$2,0)),"")</f>
        <v>Lock nut for caster white zinc</v>
      </c>
      <c r="H54" s="1083"/>
      <c r="I54" s="160">
        <f>IFERROR(INDEX(Resume!$A$3:$F$228,MATCH(ROW($B27),Resume!$N$3:$N$228,0),MATCH('Commercial Invoice'!I$25,Resume!$A$2:$F$2,0)),"")</f>
        <v>0.05</v>
      </c>
      <c r="J54" s="158">
        <f t="shared" si="0"/>
        <v>2.4000000000000004</v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IFERROR(INDEX(Resume!$A$3:$F$228,MATCH(ROW($B28),Resume!$N$3:$N$228,0),MATCH('Commercial Invoice'!C$25,Resume!$A$2:$F$2,0)),"")</f>
        <v>CHINA</v>
      </c>
      <c r="D55" s="159" t="str">
        <f>IFERROR(INDEX(Resume!$A$3:$F$228,MATCH(ROW($B28),Resume!$N$3:$N$228,0),MATCH('Commercial Invoice'!D$25,Resume!$A$2:$F$2,0)),"")</f>
        <v/>
      </c>
      <c r="E55" s="159">
        <f>IFERROR(INDEX(Resume!$A$3:$F$228,MATCH(ROW($B28),Resume!$N$3:$N$228,0),MATCH('Commercial Invoice'!E$25,Resume!$A$2:$F$2,0)),"")</f>
        <v>8</v>
      </c>
      <c r="F55" s="159" t="str">
        <f>IFERROR(INDEX(Resume!$A$3:$F$228,MATCH(ROW($B28),Resume!$N$3:$N$228,0),MATCH('Commercial Invoice'!F$25,Resume!$A$2:$F$2,0)),"")</f>
        <v>W-4PSB</v>
      </c>
      <c r="G55" s="1082" t="str">
        <f>IFERROR(INDEX(Resume!$A$3:$F$228,MATCH(ROW($B28),Resume!$N$3:$N$228,0),MATCH('Commercial Invoice'!G$25,Resume!$A$2:$F$2,0)),"")</f>
        <v>4'' Swivel plate caster brake</v>
      </c>
      <c r="H55" s="1083"/>
      <c r="I55" s="160">
        <f>IFERROR(INDEX(Resume!$A$3:$F$228,MATCH(ROW($B28),Resume!$N$3:$N$228,0),MATCH('Commercial Invoice'!I$25,Resume!$A$2:$F$2,0)),"")</f>
        <v>10.5</v>
      </c>
      <c r="J55" s="158">
        <f t="shared" si="0"/>
        <v>84</v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IFERROR(INDEX(Resume!$A$3:$F$228,MATCH(ROW($B29),Resume!$N$3:$N$228,0),MATCH('Commercial Invoice'!C$25,Resume!$A$2:$F$2,0)),"")</f>
        <v>CHINA</v>
      </c>
      <c r="D56" s="159" t="str">
        <f>IFERROR(INDEX(Resume!$A$3:$F$228,MATCH(ROW($B29),Resume!$N$3:$N$228,0),MATCH('Commercial Invoice'!D$25,Resume!$A$2:$F$2,0)),"")</f>
        <v/>
      </c>
      <c r="E56" s="159">
        <f>IFERROR(INDEX(Resume!$A$3:$F$228,MATCH(ROW($B29),Resume!$N$3:$N$228,0),MATCH('Commercial Invoice'!E$25,Resume!$A$2:$F$2,0)),"")</f>
        <v>4</v>
      </c>
      <c r="F56" s="159" t="str">
        <f>IFERROR(INDEX(Resume!$A$3:$F$228,MATCH(ROW($B29),Resume!$N$3:$N$228,0),MATCH('Commercial Invoice'!F$25,Resume!$A$2:$F$2,0)),"")</f>
        <v>W-4PF</v>
      </c>
      <c r="G56" s="1082" t="str">
        <f>IFERROR(INDEX(Resume!$A$3:$F$228,MATCH(ROW($B29),Resume!$N$3:$N$228,0),MATCH('Commercial Invoice'!G$25,Resume!$A$2:$F$2,0)),"")</f>
        <v>4'' Rigid plate caster</v>
      </c>
      <c r="H56" s="1083"/>
      <c r="I56" s="160">
        <f>IFERROR(INDEX(Resume!$A$3:$F$228,MATCH(ROW($B29),Resume!$N$3:$N$228,0),MATCH('Commercial Invoice'!I$25,Resume!$A$2:$F$2,0)),"")</f>
        <v>8.5</v>
      </c>
      <c r="J56" s="158">
        <f t="shared" ref="J56" si="1">IFERROR(I56*E56,"")</f>
        <v>34</v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IFERROR(INDEX(Resume!$A$3:$F$228,MATCH(ROW($B29),Resume!$N$3:$N$228,0),MATCH('Commercial Invoice'!C$25,Resume!$A$2:$F$2,0)),"")</f>
        <v>CHINA</v>
      </c>
      <c r="D57" s="159" t="str">
        <f>IFERROR(INDEX(Resume!$A$3:$F$228,MATCH(ROW($B29),Resume!$N$3:$N$228,0),MATCH('Commercial Invoice'!D$25,Resume!$A$2:$F$2,0)),"")</f>
        <v/>
      </c>
      <c r="E57" s="159">
        <f>IFERROR(INDEX(Resume!$A$3:$F$228,MATCH(ROW($B29),Resume!$N$3:$N$228,0),MATCH('Commercial Invoice'!E$25,Resume!$A$2:$F$2,0)),"")</f>
        <v>4</v>
      </c>
      <c r="F57" s="159" t="str">
        <f>IFERROR(INDEX(Resume!$A$3:$F$228,MATCH(ROW($B29),Resume!$N$3:$N$228,0),MATCH('Commercial Invoice'!F$25,Resume!$A$2:$F$2,0)),"")</f>
        <v>W-4PF</v>
      </c>
      <c r="G57" s="1082" t="str">
        <f>IFERROR(INDEX(Resume!$A$3:$F$228,MATCH(ROW($B29),Resume!$N$3:$N$228,0),MATCH('Commercial Invoice'!G$25,Resume!$A$2:$F$2,0)),"")</f>
        <v>4'' Rigid plate caster</v>
      </c>
      <c r="H57" s="1083"/>
      <c r="I57" s="160">
        <f>IFERROR(INDEX(Resume!$A$3:$F$228,MATCH(ROW($B29),Resume!$N$3:$N$228,0),MATCH('Commercial Invoice'!I$25,Resume!$A$2:$F$2,0)),"")</f>
        <v>8.5</v>
      </c>
      <c r="J57" s="158">
        <f t="shared" si="0"/>
        <v>34</v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IFERROR(INDEX(Resume!$A$3:$F$228,MATCH(ROW($B30),Resume!$N$3:$N$228,0),MATCH('Commercial Invoice'!C$25,Resume!$A$2:$F$2,0)),"")</f>
        <v/>
      </c>
      <c r="D58" s="159" t="str">
        <f>IFERROR(INDEX(Resume!$A$3:$F$228,MATCH(ROW($B30),Resume!$N$3:$N$228,0),MATCH('Commercial Invoice'!D$25,Resume!$A$2:$F$2,0)),"")</f>
        <v/>
      </c>
      <c r="E58" s="159" t="str">
        <f>IFERROR(INDEX(Resume!$A$3:$F$228,MATCH(ROW($B30),Resume!$N$3:$N$228,0),MATCH('Commercial Invoice'!E$25,Resume!$A$2:$F$2,0)),"")</f>
        <v/>
      </c>
      <c r="F58" s="159" t="str">
        <f>IFERROR(INDEX(Resume!$A$3:$F$228,MATCH(ROW($B30),Resume!$N$3:$N$228,0),MATCH('Commercial Invoice'!F$25,Resume!$A$2:$F$2,0)),"")</f>
        <v/>
      </c>
      <c r="G58" s="1082" t="str">
        <f>IFERROR(INDEX(Resume!$A$3:$F$228,MATCH(ROW($B30),Resume!$N$3:$N$228,0),MATCH('Commercial Invoice'!G$25,Resume!$A$2:$F$2,0)),"")</f>
        <v/>
      </c>
      <c r="H58" s="1083"/>
      <c r="I58" s="160" t="str">
        <f>IFERROR(INDEX(Resume!$A$3:$F$228,MATCH(ROW($B30),Resume!$N$3:$N$228,0),MATCH('Commercial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IFERROR(INDEX(Resume!$A$3:$F$228,MATCH(ROW($B29),Resume!$N$3:$N$228,0),MATCH('Commercial Invoice'!C$25,Resume!$A$2:$F$2,0)),"")</f>
        <v>CHINA</v>
      </c>
      <c r="D59" s="159" t="str">
        <f>IFERROR(INDEX(Resume!$A$3:$F$228,MATCH(ROW($B29),Resume!$N$3:$N$228,0),MATCH('Commercial Invoice'!D$25,Resume!$A$2:$F$2,0)),"")</f>
        <v/>
      </c>
      <c r="E59" s="159">
        <f>IFERROR(INDEX(Resume!$A$3:$F$228,MATCH(ROW($B29),Resume!$N$3:$N$228,0),MATCH('Commercial Invoice'!E$25,Resume!$A$2:$F$2,0)),"")</f>
        <v>4</v>
      </c>
      <c r="F59" s="159" t="str">
        <f>IFERROR(INDEX(Resume!$A$3:$F$228,MATCH(ROW($B29),Resume!$N$3:$N$228,0),MATCH('Commercial Invoice'!F$25,Resume!$A$2:$F$2,0)),"")</f>
        <v>W-4PF</v>
      </c>
      <c r="G59" s="1082" t="str">
        <f>IFERROR(INDEX(Resume!$A$3:$F$228,MATCH(ROW($B29),Resume!$N$3:$N$228,0),MATCH('Commercial Invoice'!G$25,Resume!$A$2:$F$2,0)),"")</f>
        <v>4'' Rigid plate caster</v>
      </c>
      <c r="H59" s="1083"/>
      <c r="I59" s="160">
        <f>IFERROR(INDEX(Resume!$A$3:$F$228,MATCH(ROW($B29),Resume!$N$3:$N$228,0),MATCH('Commercial Invoice'!I$25,Resume!$A$2:$F$2,0)),"")</f>
        <v>8.5</v>
      </c>
      <c r="J59" s="158">
        <f t="shared" si="0"/>
        <v>34</v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IFERROR(INDEX(Resume!$A$3:$F$228,MATCH(ROW($B30),Resume!$N$3:$N$228,0),MATCH('Commercial Invoice'!C$25,Resume!$A$2:$F$2,0)),"")</f>
        <v/>
      </c>
      <c r="D60" s="159" t="str">
        <f>IFERROR(INDEX(Resume!$A$3:$F$228,MATCH(ROW($B30),Resume!$N$3:$N$228,0),MATCH('Commercial Invoice'!D$25,Resume!$A$2:$F$2,0)),"")</f>
        <v/>
      </c>
      <c r="E60" s="159" t="str">
        <f>IFERROR(INDEX(Resume!$A$3:$F$228,MATCH(ROW($B30),Resume!$N$3:$N$228,0),MATCH('Commercial Invoice'!E$25,Resume!$A$2:$F$2,0)),"")</f>
        <v/>
      </c>
      <c r="F60" s="159" t="str">
        <f>IFERROR(INDEX(Resume!$A$3:$F$228,MATCH(ROW($B30),Resume!$N$3:$N$228,0),MATCH('Commercial Invoice'!F$25,Resume!$A$2:$F$2,0)),"")</f>
        <v/>
      </c>
      <c r="G60" s="1082" t="str">
        <f>IFERROR(INDEX(Resume!$A$3:$F$228,MATCH(ROW($B30),Resume!$N$3:$N$228,0),MATCH('Commercial Invoice'!G$25,Resume!$A$2:$F$2,0)),"")</f>
        <v/>
      </c>
      <c r="H60" s="1083"/>
      <c r="I60" s="160" t="str">
        <f>IFERROR(INDEX(Resume!$A$3:$F$228,MATCH(ROW($B30),Resume!$N$3:$N$228,0),MATCH('Commercial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2128.9800000000005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2128.9800000000005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4"/>
      <c r="H72" s="1086" t="s">
        <v>37</v>
      </c>
      <c r="I72" s="1087"/>
      <c r="J72" s="1088"/>
    </row>
    <row r="73" spans="3:10" ht="12" thickBot="1" x14ac:dyDescent="0.25">
      <c r="C73" s="43" t="s">
        <v>142</v>
      </c>
      <c r="D73" s="44"/>
      <c r="E73" s="45"/>
      <c r="F73" s="46"/>
      <c r="G73" s="1085"/>
      <c r="H73" s="1089"/>
      <c r="I73" s="1090"/>
      <c r="J73" s="1091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35" t="s">
        <v>362</v>
      </c>
      <c r="B1" s="1135"/>
      <c r="C1" s="1135"/>
      <c r="D1" s="1135"/>
      <c r="E1" s="1135"/>
      <c r="F1" s="1135"/>
      <c r="G1" s="1135"/>
      <c r="H1" s="1135"/>
      <c r="I1" s="1135"/>
      <c r="J1" s="1135"/>
      <c r="K1" s="1135"/>
      <c r="L1" s="1135"/>
      <c r="M1" s="1135"/>
      <c r="N1" s="1136"/>
    </row>
    <row r="2" spans="1:14" x14ac:dyDescent="0.2">
      <c r="A2" s="1135" t="s">
        <v>361</v>
      </c>
      <c r="B2" s="1135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8"/>
    </row>
    <row r="4" spans="1:14" x14ac:dyDescent="0.2">
      <c r="A4" s="1143" t="s">
        <v>338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</row>
    <row r="5" spans="1:14" x14ac:dyDescent="0.2">
      <c r="A5" s="1143" t="s">
        <v>339</v>
      </c>
      <c r="B5" s="1143"/>
      <c r="C5" s="1143"/>
      <c r="D5" s="1143"/>
      <c r="E5" s="1143"/>
      <c r="F5" s="1143"/>
      <c r="G5" s="1143"/>
      <c r="H5" s="1143"/>
      <c r="I5" s="1143"/>
      <c r="J5" s="1143"/>
      <c r="K5" s="1143"/>
      <c r="L5" s="1143"/>
      <c r="M5" s="1143"/>
      <c r="N5" s="1143"/>
    </row>
    <row r="6" spans="1:14" x14ac:dyDescent="0.2">
      <c r="A6" s="1144" t="s">
        <v>337</v>
      </c>
      <c r="B6" s="1144"/>
      <c r="C6" s="1144"/>
      <c r="D6" s="1144"/>
      <c r="E6" s="1144"/>
      <c r="F6" s="1144"/>
      <c r="G6" s="1144"/>
      <c r="H6" s="1144"/>
      <c r="I6" s="1144"/>
      <c r="J6" s="1144"/>
      <c r="K6" s="1144"/>
      <c r="L6" s="1144"/>
      <c r="M6" s="1144"/>
      <c r="N6" s="1144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39"/>
      <c r="B19" s="1139"/>
      <c r="C19" s="1139"/>
      <c r="D19" s="1139"/>
      <c r="E19" s="1139"/>
      <c r="F19" s="1139"/>
      <c r="G19" s="111"/>
      <c r="H19" s="1129" t="s">
        <v>356</v>
      </c>
      <c r="I19" s="1130"/>
      <c r="J19" s="1129" t="s">
        <v>357</v>
      </c>
      <c r="K19" s="1130"/>
      <c r="L19" s="1140" t="s">
        <v>358</v>
      </c>
      <c r="M19" s="1140" t="s">
        <v>359</v>
      </c>
      <c r="N19" s="1129" t="s">
        <v>360</v>
      </c>
    </row>
    <row r="20" spans="1:14" x14ac:dyDescent="0.2">
      <c r="A20" s="1126" t="s">
        <v>341</v>
      </c>
      <c r="B20" s="1126"/>
      <c r="C20" s="1127"/>
      <c r="D20" s="1127"/>
      <c r="E20" s="1127"/>
      <c r="F20" s="1127"/>
      <c r="G20" s="119"/>
      <c r="H20" s="1131"/>
      <c r="I20" s="1132"/>
      <c r="J20" s="1131"/>
      <c r="K20" s="1132"/>
      <c r="L20" s="1141"/>
      <c r="M20" s="1141"/>
      <c r="N20" s="1131"/>
    </row>
    <row r="21" spans="1:14" x14ac:dyDescent="0.2">
      <c r="A21" s="1126" t="s">
        <v>340</v>
      </c>
      <c r="B21" s="1126"/>
      <c r="C21" s="1127"/>
      <c r="D21" s="1127"/>
      <c r="E21" s="1127"/>
      <c r="F21" s="1127"/>
      <c r="G21" s="119"/>
      <c r="H21" s="1131"/>
      <c r="I21" s="1132"/>
      <c r="J21" s="1131"/>
      <c r="K21" s="1132"/>
      <c r="L21" s="1141"/>
      <c r="M21" s="1141"/>
      <c r="N21" s="1131"/>
    </row>
    <row r="22" spans="1:14" x14ac:dyDescent="0.2">
      <c r="A22" s="1128"/>
      <c r="B22" s="1128"/>
      <c r="C22" s="1128"/>
      <c r="D22" s="1128"/>
      <c r="E22" s="1128"/>
      <c r="F22" s="1128"/>
      <c r="G22" s="116"/>
      <c r="H22" s="1133"/>
      <c r="I22" s="1134"/>
      <c r="J22" s="1133"/>
      <c r="K22" s="1134"/>
      <c r="L22" s="1142"/>
      <c r="M22" s="1142"/>
      <c r="N22" s="1133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124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125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Benjamin Ricard</cp:lastModifiedBy>
  <cp:lastPrinted>2020-02-06T15:46:39Z</cp:lastPrinted>
  <dcterms:created xsi:type="dcterms:W3CDTF">2009-08-12T21:40:25Z</dcterms:created>
  <dcterms:modified xsi:type="dcterms:W3CDTF">2020-11-17T18:55:32Z</dcterms:modified>
</cp:coreProperties>
</file>