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2020\USD\"/>
    </mc:Choice>
  </mc:AlternateContent>
  <workbookProtection workbookPassword="C6C1" lockStructure="1"/>
  <bookViews>
    <workbookView xWindow="28680" yWindow="-120" windowWidth="29040" windowHeight="15840" activeTab="1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form'!$A$1:$AB$560</definedName>
    <definedName name="_xlnm.Print_Area" localSheetId="3">Resume!$A$4:$D$209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3" l="1"/>
  <c r="E32" i="3"/>
  <c r="D32" i="3"/>
  <c r="C32" i="3"/>
  <c r="I32" i="3" s="1"/>
  <c r="F31" i="3"/>
  <c r="E31" i="3"/>
  <c r="D31" i="3"/>
  <c r="C31" i="3"/>
  <c r="F30" i="3"/>
  <c r="E30" i="3"/>
  <c r="D30" i="3"/>
  <c r="C30" i="3"/>
  <c r="M29" i="3"/>
  <c r="M30" i="3"/>
  <c r="M31" i="3"/>
  <c r="M32" i="3"/>
  <c r="F29" i="3"/>
  <c r="E29" i="3"/>
  <c r="D29" i="3"/>
  <c r="C29" i="3"/>
  <c r="I29" i="3" s="1"/>
  <c r="L31" i="3" l="1"/>
  <c r="I31" i="3"/>
  <c r="L30" i="3"/>
  <c r="I30" i="3"/>
  <c r="L29" i="3"/>
  <c r="G29" i="3"/>
  <c r="G31" i="3"/>
  <c r="G32" i="3"/>
  <c r="L32" i="3"/>
  <c r="G30" i="3"/>
  <c r="N459" i="2"/>
  <c r="D80" i="2"/>
  <c r="S80" i="2"/>
  <c r="N80" i="2"/>
  <c r="I80" i="2"/>
  <c r="C16" i="3" l="1"/>
  <c r="S446" i="2" l="1"/>
  <c r="K181" i="3"/>
  <c r="K171" i="3"/>
  <c r="K170" i="3"/>
  <c r="K169" i="3"/>
  <c r="N424" i="2"/>
  <c r="I424" i="2"/>
  <c r="D424" i="2"/>
  <c r="K180" i="3" l="1"/>
  <c r="K179" i="3"/>
  <c r="K178" i="3"/>
  <c r="K94" i="3" l="1"/>
  <c r="C161" i="3" l="1"/>
  <c r="C160" i="3"/>
  <c r="C53" i="3"/>
  <c r="C95" i="3"/>
  <c r="C166" i="3"/>
  <c r="C165" i="3"/>
  <c r="C118" i="3"/>
  <c r="C51" i="3"/>
  <c r="F196" i="3" l="1"/>
  <c r="F195" i="3"/>
  <c r="F194" i="3"/>
  <c r="K196" i="3"/>
  <c r="M196" i="3" s="1"/>
  <c r="K195" i="3"/>
  <c r="M195" i="3" s="1"/>
  <c r="K194" i="3"/>
  <c r="M194" i="3" s="1"/>
  <c r="F181" i="3"/>
  <c r="F180" i="3"/>
  <c r="M181" i="3"/>
  <c r="M180" i="3"/>
  <c r="M207" i="3"/>
  <c r="F207" i="3"/>
  <c r="E207" i="3"/>
  <c r="D207" i="3"/>
  <c r="C207" i="3"/>
  <c r="L207" i="3" s="1"/>
  <c r="D196" i="3"/>
  <c r="D195" i="3"/>
  <c r="D194" i="3"/>
  <c r="C196" i="3"/>
  <c r="I196" i="3" s="1"/>
  <c r="C195" i="3"/>
  <c r="I195" i="3" s="1"/>
  <c r="C194" i="3"/>
  <c r="I194" i="3" s="1"/>
  <c r="K193" i="3"/>
  <c r="M193" i="3" s="1"/>
  <c r="K192" i="3"/>
  <c r="M192" i="3" s="1"/>
  <c r="K191" i="3"/>
  <c r="M191" i="3" s="1"/>
  <c r="F193" i="3"/>
  <c r="D193" i="3"/>
  <c r="C193" i="3"/>
  <c r="I193" i="3" s="1"/>
  <c r="F192" i="3"/>
  <c r="D192" i="3"/>
  <c r="C192" i="3"/>
  <c r="I192" i="3" s="1"/>
  <c r="F191" i="3"/>
  <c r="D191" i="3"/>
  <c r="C191" i="3"/>
  <c r="N492" i="2"/>
  <c r="X481" i="2"/>
  <c r="S481" i="2"/>
  <c r="N481" i="2"/>
  <c r="I492" i="2"/>
  <c r="D492" i="2"/>
  <c r="F179" i="3"/>
  <c r="F178" i="3"/>
  <c r="D181" i="3"/>
  <c r="C181" i="3"/>
  <c r="L181" i="3" s="1"/>
  <c r="D180" i="3"/>
  <c r="C180" i="3"/>
  <c r="L180" i="3" s="1"/>
  <c r="K164" i="3"/>
  <c r="F164" i="3"/>
  <c r="D164" i="3"/>
  <c r="C164" i="3"/>
  <c r="N446" i="2"/>
  <c r="I180" i="3" l="1"/>
  <c r="G193" i="3"/>
  <c r="L194" i="3"/>
  <c r="I207" i="3"/>
  <c r="L195" i="3"/>
  <c r="G207" i="3"/>
  <c r="G180" i="3"/>
  <c r="G195" i="3"/>
  <c r="G181" i="3"/>
  <c r="I181" i="3"/>
  <c r="L193" i="3"/>
  <c r="G196" i="3"/>
  <c r="G194" i="3"/>
  <c r="G192" i="3"/>
  <c r="L192" i="3"/>
  <c r="G191" i="3"/>
  <c r="L196" i="3"/>
  <c r="L191" i="3"/>
  <c r="I191" i="3"/>
  <c r="G164" i="3"/>
  <c r="L164" i="3"/>
  <c r="M164" i="3"/>
  <c r="I164" i="3"/>
  <c r="K136" i="3"/>
  <c r="M136" i="3" s="1"/>
  <c r="F136" i="3"/>
  <c r="D136" i="3"/>
  <c r="C136" i="3"/>
  <c r="F132" i="3"/>
  <c r="D132" i="3"/>
  <c r="C132" i="3"/>
  <c r="I132" i="3" s="1"/>
  <c r="K132" i="3"/>
  <c r="M132" i="3" s="1"/>
  <c r="K131" i="3"/>
  <c r="M131" i="3" s="1"/>
  <c r="F131" i="3"/>
  <c r="D131" i="3"/>
  <c r="C131" i="3"/>
  <c r="S333" i="2"/>
  <c r="X322" i="2"/>
  <c r="S322" i="2"/>
  <c r="S289" i="2"/>
  <c r="N289" i="2"/>
  <c r="I289" i="2"/>
  <c r="F114" i="3"/>
  <c r="G114" i="3" s="1"/>
  <c r="E114" i="3"/>
  <c r="D114" i="3"/>
  <c r="K95" i="3"/>
  <c r="M95" i="3" s="1"/>
  <c r="F95" i="3"/>
  <c r="D95" i="3"/>
  <c r="D230" i="2"/>
  <c r="G72" i="3"/>
  <c r="G73" i="3"/>
  <c r="D74" i="3"/>
  <c r="F74" i="3"/>
  <c r="M55" i="3"/>
  <c r="F55" i="3"/>
  <c r="D55" i="3"/>
  <c r="C55" i="3"/>
  <c r="D132" i="2"/>
  <c r="I132" i="2"/>
  <c r="N132" i="2"/>
  <c r="M28" i="3"/>
  <c r="F28" i="3"/>
  <c r="D28" i="3"/>
  <c r="C28" i="3"/>
  <c r="I28" i="3" s="1"/>
  <c r="D68" i="2"/>
  <c r="L131" i="3" l="1"/>
  <c r="L136" i="3"/>
  <c r="G136" i="3"/>
  <c r="I136" i="3"/>
  <c r="G131" i="3"/>
  <c r="I131" i="3"/>
  <c r="L132" i="3"/>
  <c r="G132" i="3"/>
  <c r="G95" i="3"/>
  <c r="L95" i="3"/>
  <c r="I95" i="3"/>
  <c r="G28" i="3"/>
  <c r="G55" i="3"/>
  <c r="L28" i="3"/>
  <c r="I55" i="3"/>
  <c r="L55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F17" i="3"/>
  <c r="F16" i="3"/>
  <c r="F14" i="3"/>
  <c r="F13" i="3"/>
  <c r="F12" i="3"/>
  <c r="F8" i="3"/>
  <c r="F7" i="3"/>
  <c r="F6" i="3"/>
  <c r="F5" i="3"/>
  <c r="F4" i="3"/>
  <c r="C17" i="3"/>
  <c r="L17" i="3" s="1"/>
  <c r="D17" i="3"/>
  <c r="I17" i="3" l="1"/>
  <c r="G17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S48" i="2" l="1"/>
  <c r="F15" i="3"/>
  <c r="C15" i="3"/>
  <c r="C4" i="3"/>
  <c r="I4" i="3" s="1"/>
  <c r="C5" i="3"/>
  <c r="C7" i="3"/>
  <c r="F9" i="3"/>
  <c r="C9" i="3"/>
  <c r="F10" i="3"/>
  <c r="C10" i="3"/>
  <c r="F11" i="3"/>
  <c r="C11" i="3"/>
  <c r="C12" i="3"/>
  <c r="C14" i="3"/>
  <c r="C18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C26" i="3"/>
  <c r="I26" i="3" s="1"/>
  <c r="C27" i="3"/>
  <c r="I27" i="3" s="1"/>
  <c r="C33" i="3"/>
  <c r="I33" i="3" s="1"/>
  <c r="C34" i="3"/>
  <c r="I34" i="3" s="1"/>
  <c r="C35" i="3"/>
  <c r="I35" i="3" s="1"/>
  <c r="C36" i="3"/>
  <c r="I36" i="3" s="1"/>
  <c r="C37" i="3"/>
  <c r="I37" i="3" s="1"/>
  <c r="C38" i="3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C48" i="3"/>
  <c r="I48" i="3" s="1"/>
  <c r="C49" i="3"/>
  <c r="I49" i="3" s="1"/>
  <c r="C50" i="3"/>
  <c r="I50" i="3" s="1"/>
  <c r="I51" i="3"/>
  <c r="C52" i="3"/>
  <c r="I52" i="3" s="1"/>
  <c r="I53" i="3"/>
  <c r="C54" i="3"/>
  <c r="I5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92" i="3"/>
  <c r="I92" i="3" s="1"/>
  <c r="C93" i="3"/>
  <c r="I93" i="3" s="1"/>
  <c r="C94" i="3"/>
  <c r="I94" i="3" s="1"/>
  <c r="C115" i="3"/>
  <c r="I115" i="3" s="1"/>
  <c r="C116" i="3"/>
  <c r="I116" i="3" s="1"/>
  <c r="C117" i="3"/>
  <c r="I117" i="3" s="1"/>
  <c r="I118" i="3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I124" i="3" s="1"/>
  <c r="C125" i="3"/>
  <c r="I125" i="3" s="1"/>
  <c r="C126" i="3"/>
  <c r="I126" i="3" s="1"/>
  <c r="C127" i="3"/>
  <c r="C128" i="3"/>
  <c r="I128" i="3" s="1"/>
  <c r="C129" i="3"/>
  <c r="I129" i="3" s="1"/>
  <c r="C130" i="3"/>
  <c r="C133" i="3"/>
  <c r="C134" i="3"/>
  <c r="I134" i="3" s="1"/>
  <c r="C135" i="3"/>
  <c r="C137" i="3"/>
  <c r="C138" i="3"/>
  <c r="I138" i="3" s="1"/>
  <c r="C139" i="3"/>
  <c r="I139" i="3" s="1"/>
  <c r="C140" i="3"/>
  <c r="I140" i="3" s="1"/>
  <c r="C141" i="3"/>
  <c r="I141" i="3" s="1"/>
  <c r="C142" i="3"/>
  <c r="I142" i="3" s="1"/>
  <c r="C143" i="3"/>
  <c r="I143" i="3" s="1"/>
  <c r="C144" i="3"/>
  <c r="C145" i="3"/>
  <c r="L145" i="3" s="1"/>
  <c r="C146" i="3"/>
  <c r="I146" i="3" s="1"/>
  <c r="C147" i="3"/>
  <c r="I147" i="3" s="1"/>
  <c r="C148" i="3"/>
  <c r="I148" i="3" s="1"/>
  <c r="C149" i="3"/>
  <c r="I149" i="3" s="1"/>
  <c r="C150" i="3"/>
  <c r="I150" i="3" s="1"/>
  <c r="C151" i="3"/>
  <c r="I151" i="3" s="1"/>
  <c r="C152" i="3"/>
  <c r="C153" i="3"/>
  <c r="L153" i="3" s="1"/>
  <c r="C154" i="3"/>
  <c r="L154" i="3" s="1"/>
  <c r="C155" i="3"/>
  <c r="L155" i="3" s="1"/>
  <c r="C156" i="3"/>
  <c r="C157" i="3"/>
  <c r="I157" i="3" s="1"/>
  <c r="C158" i="3"/>
  <c r="I158" i="3" s="1"/>
  <c r="C159" i="3"/>
  <c r="I159" i="3" s="1"/>
  <c r="C162" i="3"/>
  <c r="C163" i="3"/>
  <c r="C167" i="3"/>
  <c r="C168" i="3"/>
  <c r="I168" i="3" s="1"/>
  <c r="C169" i="3"/>
  <c r="C170" i="3"/>
  <c r="C171" i="3"/>
  <c r="C172" i="3"/>
  <c r="I172" i="3" s="1"/>
  <c r="C173" i="3"/>
  <c r="I173" i="3" s="1"/>
  <c r="C174" i="3"/>
  <c r="I174" i="3" s="1"/>
  <c r="C175" i="3"/>
  <c r="I175" i="3" s="1"/>
  <c r="C176" i="3"/>
  <c r="I176" i="3" s="1"/>
  <c r="C177" i="3"/>
  <c r="I177" i="3" s="1"/>
  <c r="C178" i="3"/>
  <c r="C179" i="3"/>
  <c r="L179" i="3" s="1"/>
  <c r="C182" i="3"/>
  <c r="C183" i="3"/>
  <c r="C184" i="3"/>
  <c r="I184" i="3" s="1"/>
  <c r="C185" i="3"/>
  <c r="C186" i="3"/>
  <c r="C187" i="3"/>
  <c r="C188" i="3"/>
  <c r="C189" i="3"/>
  <c r="C190" i="3"/>
  <c r="C197" i="3"/>
  <c r="I197" i="3" s="1"/>
  <c r="C198" i="3"/>
  <c r="I198" i="3" s="1"/>
  <c r="C199" i="3"/>
  <c r="C200" i="3"/>
  <c r="I200" i="3" s="1"/>
  <c r="C201" i="3"/>
  <c r="I201" i="3" s="1"/>
  <c r="C202" i="3"/>
  <c r="I202" i="3" s="1"/>
  <c r="C203" i="3"/>
  <c r="C204" i="3"/>
  <c r="I204" i="3" s="1"/>
  <c r="C205" i="3"/>
  <c r="I205" i="3" s="1"/>
  <c r="C206" i="3"/>
  <c r="I206" i="3" s="1"/>
  <c r="C208" i="3"/>
  <c r="C209" i="3"/>
  <c r="C210" i="3"/>
  <c r="C211" i="3"/>
  <c r="C212" i="3"/>
  <c r="I212" i="3" s="1"/>
  <c r="C213" i="3"/>
  <c r="I213" i="3" s="1"/>
  <c r="C214" i="3"/>
  <c r="I214" i="3" s="1"/>
  <c r="C215" i="3"/>
  <c r="C216" i="3"/>
  <c r="C217" i="3"/>
  <c r="C218" i="3"/>
  <c r="F18" i="3"/>
  <c r="F19" i="3"/>
  <c r="F20" i="3"/>
  <c r="F23" i="3"/>
  <c r="F21" i="3"/>
  <c r="F24" i="3"/>
  <c r="F25" i="3"/>
  <c r="F27" i="3"/>
  <c r="F22" i="3"/>
  <c r="F26" i="3"/>
  <c r="F52" i="3"/>
  <c r="F34" i="3"/>
  <c r="F37" i="3"/>
  <c r="F38" i="3"/>
  <c r="F39" i="3"/>
  <c r="F42" i="3"/>
  <c r="F43" i="3"/>
  <c r="F44" i="3"/>
  <c r="F45" i="3"/>
  <c r="F47" i="3"/>
  <c r="F48" i="3"/>
  <c r="F49" i="3"/>
  <c r="F50" i="3"/>
  <c r="F51" i="3"/>
  <c r="F53" i="3"/>
  <c r="F54" i="3"/>
  <c r="F33" i="3"/>
  <c r="F35" i="3"/>
  <c r="F36" i="3"/>
  <c r="F40" i="3"/>
  <c r="F41" i="3"/>
  <c r="F46" i="3"/>
  <c r="F160" i="3"/>
  <c r="F161" i="3"/>
  <c r="F165" i="3"/>
  <c r="F166" i="3"/>
  <c r="F162" i="3"/>
  <c r="F163" i="3"/>
  <c r="F167" i="3"/>
  <c r="F168" i="3"/>
  <c r="F169" i="3"/>
  <c r="F170" i="3"/>
  <c r="F171" i="3"/>
  <c r="F176" i="3"/>
  <c r="F177" i="3"/>
  <c r="F172" i="3"/>
  <c r="F173" i="3"/>
  <c r="F174" i="3"/>
  <c r="F175" i="3"/>
  <c r="F83" i="3"/>
  <c r="F75" i="3"/>
  <c r="F76" i="3"/>
  <c r="F77" i="3"/>
  <c r="F78" i="3"/>
  <c r="F79" i="3"/>
  <c r="F80" i="3"/>
  <c r="F81" i="3"/>
  <c r="F82" i="3"/>
  <c r="F84" i="3"/>
  <c r="F85" i="3"/>
  <c r="F86" i="3"/>
  <c r="F87" i="3"/>
  <c r="F88" i="3"/>
  <c r="F89" i="3"/>
  <c r="F90" i="3"/>
  <c r="F91" i="3"/>
  <c r="F92" i="3"/>
  <c r="F93" i="3"/>
  <c r="F94" i="3"/>
  <c r="F155" i="3"/>
  <c r="F115" i="3"/>
  <c r="F116" i="3"/>
  <c r="F117" i="3"/>
  <c r="F118" i="3"/>
  <c r="F121" i="3"/>
  <c r="F122" i="3"/>
  <c r="F123" i="3"/>
  <c r="F124" i="3"/>
  <c r="F125" i="3"/>
  <c r="F126" i="3"/>
  <c r="F127" i="3"/>
  <c r="F128" i="3"/>
  <c r="F129" i="3"/>
  <c r="F130" i="3"/>
  <c r="F133" i="3"/>
  <c r="F134" i="3"/>
  <c r="F135" i="3"/>
  <c r="F137" i="3"/>
  <c r="F138" i="3"/>
  <c r="F139" i="3"/>
  <c r="F140" i="3"/>
  <c r="F141" i="3"/>
  <c r="F142" i="3"/>
  <c r="F144" i="3"/>
  <c r="F145" i="3"/>
  <c r="F146" i="3"/>
  <c r="F147" i="3"/>
  <c r="F148" i="3"/>
  <c r="F149" i="3"/>
  <c r="F150" i="3"/>
  <c r="F151" i="3"/>
  <c r="F154" i="3"/>
  <c r="F153" i="3"/>
  <c r="F152" i="3"/>
  <c r="F119" i="3"/>
  <c r="F120" i="3"/>
  <c r="F143" i="3"/>
  <c r="F216" i="3"/>
  <c r="F208" i="3"/>
  <c r="F209" i="3"/>
  <c r="F210" i="3"/>
  <c r="F211" i="3"/>
  <c r="F213" i="3"/>
  <c r="F214" i="3"/>
  <c r="F199" i="3"/>
  <c r="F200" i="3"/>
  <c r="F201" i="3"/>
  <c r="F202" i="3"/>
  <c r="F203" i="3"/>
  <c r="F204" i="3"/>
  <c r="F205" i="3"/>
  <c r="F212" i="3"/>
  <c r="F215" i="3"/>
  <c r="F156" i="3"/>
  <c r="F157" i="3"/>
  <c r="F158" i="3"/>
  <c r="F159" i="3"/>
  <c r="F183" i="3"/>
  <c r="F186" i="3"/>
  <c r="F187" i="3"/>
  <c r="F188" i="3"/>
  <c r="F189" i="3"/>
  <c r="F190" i="3"/>
  <c r="F197" i="3"/>
  <c r="F198" i="3"/>
  <c r="F182" i="3"/>
  <c r="F184" i="3"/>
  <c r="F185" i="3"/>
  <c r="C220" i="3"/>
  <c r="C221" i="3"/>
  <c r="D16" i="3"/>
  <c r="K198" i="3"/>
  <c r="M198" i="3" s="1"/>
  <c r="K197" i="3"/>
  <c r="M197" i="3" s="1"/>
  <c r="K190" i="3"/>
  <c r="M190" i="3" s="1"/>
  <c r="K189" i="3"/>
  <c r="M189" i="3" s="1"/>
  <c r="K40" i="3"/>
  <c r="M40" i="3" s="1"/>
  <c r="K123" i="3"/>
  <c r="M123" i="3" s="1"/>
  <c r="K141" i="3"/>
  <c r="K140" i="3"/>
  <c r="K144" i="3"/>
  <c r="M144" i="3" s="1"/>
  <c r="K187" i="3"/>
  <c r="M187" i="3" s="1"/>
  <c r="K188" i="3"/>
  <c r="M188" i="3" s="1"/>
  <c r="K19" i="3"/>
  <c r="M19" i="3" s="1"/>
  <c r="K20" i="3"/>
  <c r="M20" i="3" s="1"/>
  <c r="K21" i="3"/>
  <c r="M21" i="3" s="1"/>
  <c r="K22" i="3"/>
  <c r="M22" i="3" s="1"/>
  <c r="K23" i="3"/>
  <c r="K24" i="3"/>
  <c r="M24" i="3" s="1"/>
  <c r="K25" i="3"/>
  <c r="M25" i="3" s="1"/>
  <c r="K33" i="3"/>
  <c r="M33" i="3" s="1"/>
  <c r="K34" i="3"/>
  <c r="M34" i="3" s="1"/>
  <c r="K35" i="3"/>
  <c r="M35" i="3" s="1"/>
  <c r="K36" i="3"/>
  <c r="M36" i="3" s="1"/>
  <c r="K37" i="3"/>
  <c r="M37" i="3" s="1"/>
  <c r="K38" i="3"/>
  <c r="M38" i="3" s="1"/>
  <c r="K39" i="3"/>
  <c r="M39" i="3" s="1"/>
  <c r="K41" i="3"/>
  <c r="K42" i="3"/>
  <c r="M42" i="3" s="1"/>
  <c r="K43" i="3"/>
  <c r="M43" i="3" s="1"/>
  <c r="K44" i="3"/>
  <c r="K45" i="3"/>
  <c r="K46" i="3"/>
  <c r="M46" i="3" s="1"/>
  <c r="K47" i="3"/>
  <c r="M47" i="3" s="1"/>
  <c r="K48" i="3"/>
  <c r="M48" i="3" s="1"/>
  <c r="K49" i="3"/>
  <c r="K50" i="3"/>
  <c r="M50" i="3" s="1"/>
  <c r="K51" i="3"/>
  <c r="M51" i="3" s="1"/>
  <c r="K52" i="3"/>
  <c r="M52" i="3" s="1"/>
  <c r="K53" i="3"/>
  <c r="M53" i="3" s="1"/>
  <c r="K54" i="3"/>
  <c r="M54" i="3" s="1"/>
  <c r="K75" i="3"/>
  <c r="M75" i="3" s="1"/>
  <c r="K76" i="3"/>
  <c r="M76" i="3" s="1"/>
  <c r="K77" i="3"/>
  <c r="K78" i="3"/>
  <c r="M78" i="3" s="1"/>
  <c r="K79" i="3"/>
  <c r="M79" i="3" s="1"/>
  <c r="K80" i="3"/>
  <c r="K81" i="3"/>
  <c r="M81" i="3" s="1"/>
  <c r="K82" i="3"/>
  <c r="M82" i="3" s="1"/>
  <c r="K83" i="3"/>
  <c r="M83" i="3" s="1"/>
  <c r="K84" i="3"/>
  <c r="M84" i="3" s="1"/>
  <c r="K85" i="3"/>
  <c r="K86" i="3"/>
  <c r="M86" i="3" s="1"/>
  <c r="K87" i="3"/>
  <c r="M87" i="3" s="1"/>
  <c r="K88" i="3"/>
  <c r="K89" i="3"/>
  <c r="K90" i="3"/>
  <c r="M90" i="3" s="1"/>
  <c r="K91" i="3"/>
  <c r="M91" i="3" s="1"/>
  <c r="K92" i="3"/>
  <c r="M92" i="3" s="1"/>
  <c r="K93" i="3"/>
  <c r="M93" i="3" s="1"/>
  <c r="M94" i="3"/>
  <c r="K115" i="3"/>
  <c r="M115" i="3" s="1"/>
  <c r="K116" i="3"/>
  <c r="K117" i="3"/>
  <c r="K118" i="3"/>
  <c r="M118" i="3" s="1"/>
  <c r="K119" i="3"/>
  <c r="M119" i="3" s="1"/>
  <c r="K120" i="3"/>
  <c r="M120" i="3" s="1"/>
  <c r="K121" i="3"/>
  <c r="M121" i="3" s="1"/>
  <c r="K122" i="3"/>
  <c r="K124" i="3"/>
  <c r="M124" i="3" s="1"/>
  <c r="K125" i="3"/>
  <c r="K126" i="3"/>
  <c r="M126" i="3" s="1"/>
  <c r="K127" i="3"/>
  <c r="M127" i="3" s="1"/>
  <c r="K128" i="3"/>
  <c r="M128" i="3" s="1"/>
  <c r="K129" i="3"/>
  <c r="M129" i="3" s="1"/>
  <c r="K130" i="3"/>
  <c r="M130" i="3" s="1"/>
  <c r="K133" i="3"/>
  <c r="M133" i="3" s="1"/>
  <c r="K134" i="3"/>
  <c r="M134" i="3" s="1"/>
  <c r="K135" i="3"/>
  <c r="M135" i="3" s="1"/>
  <c r="K137" i="3"/>
  <c r="M137" i="3" s="1"/>
  <c r="K138" i="3"/>
  <c r="M138" i="3" s="1"/>
  <c r="K139" i="3"/>
  <c r="M139" i="3" s="1"/>
  <c r="K142" i="3"/>
  <c r="M142" i="3" s="1"/>
  <c r="K143" i="3"/>
  <c r="M143" i="3" s="1"/>
  <c r="K146" i="3"/>
  <c r="K147" i="3"/>
  <c r="K148" i="3"/>
  <c r="M148" i="3" s="1"/>
  <c r="K149" i="3"/>
  <c r="K150" i="3"/>
  <c r="K151" i="3"/>
  <c r="K160" i="3"/>
  <c r="M160" i="3" s="1"/>
  <c r="K161" i="3"/>
  <c r="K162" i="3"/>
  <c r="M162" i="3" s="1"/>
  <c r="K163" i="3"/>
  <c r="K165" i="3"/>
  <c r="M165" i="3" s="1"/>
  <c r="K166" i="3"/>
  <c r="K167" i="3"/>
  <c r="M167" i="3" s="1"/>
  <c r="K168" i="3"/>
  <c r="K172" i="3"/>
  <c r="K173" i="3"/>
  <c r="M173" i="3" s="1"/>
  <c r="K174" i="3"/>
  <c r="K175" i="3"/>
  <c r="K176" i="3"/>
  <c r="K177" i="3"/>
  <c r="M177" i="3" s="1"/>
  <c r="K182" i="3"/>
  <c r="K183" i="3"/>
  <c r="M183" i="3" s="1"/>
  <c r="K184" i="3"/>
  <c r="K185" i="3"/>
  <c r="M185" i="3" s="1"/>
  <c r="K186" i="3"/>
  <c r="M186" i="3" s="1"/>
  <c r="H217" i="3"/>
  <c r="I217" i="3" s="1"/>
  <c r="H218" i="3"/>
  <c r="I218" i="3" s="1"/>
  <c r="K18" i="3"/>
  <c r="M18" i="3" s="1"/>
  <c r="K26" i="3"/>
  <c r="K27" i="3"/>
  <c r="M27" i="3" s="1"/>
  <c r="F18" i="4"/>
  <c r="F2" i="3" s="1"/>
  <c r="B18" i="4"/>
  <c r="C18" i="4"/>
  <c r="D18" i="4"/>
  <c r="E2" i="3" s="1"/>
  <c r="D145" i="3"/>
  <c r="D146" i="3"/>
  <c r="D198" i="3"/>
  <c r="D197" i="3"/>
  <c r="D190" i="3"/>
  <c r="D189" i="3"/>
  <c r="M169" i="3"/>
  <c r="M170" i="3"/>
  <c r="M171" i="3"/>
  <c r="D168" i="3"/>
  <c r="D163" i="3"/>
  <c r="M159" i="3"/>
  <c r="D159" i="3"/>
  <c r="M152" i="3"/>
  <c r="M153" i="3"/>
  <c r="M154" i="3"/>
  <c r="M155" i="3"/>
  <c r="D155" i="3"/>
  <c r="D154" i="3"/>
  <c r="D153" i="3"/>
  <c r="D152" i="3"/>
  <c r="D151" i="3"/>
  <c r="M145" i="3"/>
  <c r="D141" i="3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F111" i="3"/>
  <c r="G111" i="3" s="1"/>
  <c r="F112" i="3"/>
  <c r="G112" i="3" s="1"/>
  <c r="F113" i="3"/>
  <c r="G113" i="3" s="1"/>
  <c r="D113" i="3"/>
  <c r="D112" i="3"/>
  <c r="D111" i="3"/>
  <c r="D110" i="3"/>
  <c r="D109" i="3"/>
  <c r="D94" i="3"/>
  <c r="D93" i="3"/>
  <c r="D92" i="3"/>
  <c r="D91" i="3"/>
  <c r="D90" i="3"/>
  <c r="D87" i="3"/>
  <c r="D86" i="3"/>
  <c r="D85" i="3"/>
  <c r="D84" i="3"/>
  <c r="D82" i="3"/>
  <c r="D76" i="3"/>
  <c r="D77" i="3"/>
  <c r="D78" i="3"/>
  <c r="D79" i="3"/>
  <c r="D80" i="3"/>
  <c r="D81" i="3"/>
  <c r="D83" i="3"/>
  <c r="D88" i="3"/>
  <c r="D89" i="3"/>
  <c r="N200" i="2"/>
  <c r="I210" i="2"/>
  <c r="N210" i="2"/>
  <c r="X210" i="2"/>
  <c r="S210" i="2"/>
  <c r="X220" i="2"/>
  <c r="S220" i="2"/>
  <c r="N220" i="2"/>
  <c r="I220" i="2"/>
  <c r="D220" i="2"/>
  <c r="X355" i="2"/>
  <c r="I355" i="2"/>
  <c r="X366" i="2"/>
  <c r="S412" i="2"/>
  <c r="S401" i="2"/>
  <c r="S459" i="2"/>
  <c r="I470" i="2"/>
  <c r="D470" i="2"/>
  <c r="X492" i="2"/>
  <c r="S492" i="2"/>
  <c r="I481" i="2"/>
  <c r="D481" i="2"/>
  <c r="X344" i="2"/>
  <c r="F12" i="4"/>
  <c r="F11" i="4"/>
  <c r="F10" i="4"/>
  <c r="F9" i="4"/>
  <c r="F218" i="3"/>
  <c r="G218" i="3" s="1"/>
  <c r="F217" i="3"/>
  <c r="G217" i="3" s="1"/>
  <c r="D108" i="3"/>
  <c r="D107" i="3"/>
  <c r="D106" i="3"/>
  <c r="D105" i="3"/>
  <c r="M211" i="3"/>
  <c r="M212" i="3"/>
  <c r="M213" i="3"/>
  <c r="M214" i="3"/>
  <c r="M215" i="3"/>
  <c r="M216" i="3"/>
  <c r="D118" i="3"/>
  <c r="D117" i="3"/>
  <c r="D140" i="3"/>
  <c r="D139" i="3"/>
  <c r="S344" i="2"/>
  <c r="N344" i="2"/>
  <c r="I344" i="2"/>
  <c r="D344" i="2"/>
  <c r="B10" i="5"/>
  <c r="H14" i="6" s="1"/>
  <c r="D167" i="3"/>
  <c r="D166" i="3"/>
  <c r="D165" i="3"/>
  <c r="D150" i="3"/>
  <c r="D149" i="3"/>
  <c r="D148" i="3"/>
  <c r="D216" i="3"/>
  <c r="D215" i="3"/>
  <c r="D214" i="3"/>
  <c r="D213" i="3"/>
  <c r="D212" i="3"/>
  <c r="D211" i="3"/>
  <c r="H20" i="5"/>
  <c r="M4" i="3"/>
  <c r="M208" i="3"/>
  <c r="M209" i="3"/>
  <c r="G2" i="3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F69" i="3"/>
  <c r="G69" i="3" s="1"/>
  <c r="F70" i="3"/>
  <c r="G70" i="3" s="1"/>
  <c r="F71" i="3"/>
  <c r="G71" i="3" s="1"/>
  <c r="G74" i="3"/>
  <c r="F96" i="3"/>
  <c r="G96" i="3" s="1"/>
  <c r="N412" i="2"/>
  <c r="I412" i="2"/>
  <c r="D412" i="2"/>
  <c r="N366" i="2"/>
  <c r="I366" i="2"/>
  <c r="D366" i="2"/>
  <c r="S366" i="2"/>
  <c r="D187" i="3"/>
  <c r="D147" i="3"/>
  <c r="D123" i="3"/>
  <c r="X300" i="2"/>
  <c r="D459" i="2"/>
  <c r="I459" i="2"/>
  <c r="S470" i="2"/>
  <c r="X470" i="2"/>
  <c r="D179" i="3"/>
  <c r="D177" i="3"/>
  <c r="D178" i="3"/>
  <c r="I446" i="2"/>
  <c r="D446" i="2"/>
  <c r="D25" i="3"/>
  <c r="D24" i="3"/>
  <c r="D210" i="2"/>
  <c r="X200" i="2"/>
  <c r="N58" i="2"/>
  <c r="I58" i="2"/>
  <c r="D5" i="3"/>
  <c r="D7" i="3"/>
  <c r="D9" i="3"/>
  <c r="D10" i="3"/>
  <c r="D11" i="3"/>
  <c r="D12" i="3"/>
  <c r="D14" i="3"/>
  <c r="D15" i="3"/>
  <c r="C63" i="4"/>
  <c r="E81" i="5"/>
  <c r="C22" i="5" s="1"/>
  <c r="D172" i="3"/>
  <c r="S424" i="2"/>
  <c r="D4" i="3"/>
  <c r="D18" i="3"/>
  <c r="D19" i="3"/>
  <c r="D20" i="3"/>
  <c r="D21" i="3"/>
  <c r="D22" i="3"/>
  <c r="D23" i="3"/>
  <c r="D26" i="3"/>
  <c r="D27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5" i="3"/>
  <c r="D96" i="3"/>
  <c r="D97" i="3"/>
  <c r="D98" i="3"/>
  <c r="D99" i="3"/>
  <c r="D100" i="3"/>
  <c r="D101" i="3"/>
  <c r="D102" i="3"/>
  <c r="D103" i="3"/>
  <c r="D104" i="3"/>
  <c r="D115" i="3"/>
  <c r="D116" i="3"/>
  <c r="D119" i="3"/>
  <c r="D120" i="3"/>
  <c r="D121" i="3"/>
  <c r="D122" i="3"/>
  <c r="D135" i="3"/>
  <c r="D133" i="3"/>
  <c r="D134" i="3"/>
  <c r="D128" i="3"/>
  <c r="D129" i="3"/>
  <c r="D130" i="3"/>
  <c r="D124" i="3"/>
  <c r="D125" i="3"/>
  <c r="D126" i="3"/>
  <c r="D127" i="3"/>
  <c r="D137" i="3"/>
  <c r="D138" i="3"/>
  <c r="D142" i="3"/>
  <c r="D143" i="3"/>
  <c r="D144" i="3"/>
  <c r="D156" i="3"/>
  <c r="M156" i="3"/>
  <c r="D157" i="3"/>
  <c r="M157" i="3"/>
  <c r="D158" i="3"/>
  <c r="M158" i="3"/>
  <c r="D160" i="3"/>
  <c r="D161" i="3"/>
  <c r="D162" i="3"/>
  <c r="D169" i="3"/>
  <c r="D170" i="3"/>
  <c r="D171" i="3"/>
  <c r="D173" i="3"/>
  <c r="D174" i="3"/>
  <c r="D175" i="3"/>
  <c r="D176" i="3"/>
  <c r="D188" i="3"/>
  <c r="D182" i="3"/>
  <c r="D183" i="3"/>
  <c r="D184" i="3"/>
  <c r="D185" i="3"/>
  <c r="D186" i="3"/>
  <c r="D199" i="3"/>
  <c r="M199" i="3"/>
  <c r="D200" i="3"/>
  <c r="M200" i="3"/>
  <c r="D201" i="3"/>
  <c r="M201" i="3"/>
  <c r="D202" i="3"/>
  <c r="M202" i="3"/>
  <c r="D203" i="3"/>
  <c r="M203" i="3"/>
  <c r="D204" i="3"/>
  <c r="D205" i="3"/>
  <c r="M205" i="3"/>
  <c r="D206" i="3"/>
  <c r="D208" i="3"/>
  <c r="D209" i="3"/>
  <c r="D210" i="3"/>
  <c r="M210" i="3"/>
  <c r="E217" i="3"/>
  <c r="E218" i="3"/>
  <c r="E219" i="3"/>
  <c r="E220" i="3"/>
  <c r="F220" i="3"/>
  <c r="E221" i="3"/>
  <c r="F221" i="3"/>
  <c r="M206" i="3"/>
  <c r="X58" i="2"/>
  <c r="S58" i="2"/>
  <c r="X48" i="2"/>
  <c r="N48" i="2"/>
  <c r="I48" i="2"/>
  <c r="D48" i="2"/>
  <c r="D58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8" i="3" s="1"/>
  <c r="D92" i="2"/>
  <c r="I92" i="2"/>
  <c r="N92" i="2"/>
  <c r="S92" i="2"/>
  <c r="X92" i="2"/>
  <c r="D102" i="2"/>
  <c r="I102" i="2"/>
  <c r="N102" i="2"/>
  <c r="S102" i="2"/>
  <c r="X102" i="2"/>
  <c r="D112" i="2"/>
  <c r="I112" i="2"/>
  <c r="N112" i="2"/>
  <c r="S112" i="2"/>
  <c r="X112" i="2"/>
  <c r="D122" i="2"/>
  <c r="I122" i="2"/>
  <c r="N122" i="2"/>
  <c r="S122" i="2"/>
  <c r="X122" i="2"/>
  <c r="D190" i="2"/>
  <c r="I190" i="2"/>
  <c r="N190" i="2"/>
  <c r="S190" i="2"/>
  <c r="X190" i="2"/>
  <c r="D200" i="2"/>
  <c r="I200" i="2"/>
  <c r="S200" i="2"/>
  <c r="D289" i="2"/>
  <c r="D300" i="2"/>
  <c r="I300" i="2"/>
  <c r="N300" i="2"/>
  <c r="S300" i="2"/>
  <c r="D311" i="2"/>
  <c r="I311" i="2"/>
  <c r="N311" i="2"/>
  <c r="S311" i="2"/>
  <c r="D322" i="2"/>
  <c r="I322" i="2"/>
  <c r="N322" i="2"/>
  <c r="D333" i="2"/>
  <c r="I333" i="2"/>
  <c r="N333" i="2"/>
  <c r="D355" i="2"/>
  <c r="N355" i="2"/>
  <c r="S355" i="2"/>
  <c r="D401" i="2"/>
  <c r="I401" i="2"/>
  <c r="N401" i="2"/>
  <c r="D435" i="2"/>
  <c r="I435" i="2"/>
  <c r="N435" i="2"/>
  <c r="S435" i="2"/>
  <c r="X435" i="2"/>
  <c r="M204" i="3"/>
  <c r="M45" i="3"/>
  <c r="H22" i="5"/>
  <c r="F56" i="3"/>
  <c r="G56" i="3" s="1"/>
  <c r="I18" i="3" l="1"/>
  <c r="L205" i="3"/>
  <c r="G155" i="3"/>
  <c r="L184" i="3"/>
  <c r="L174" i="3"/>
  <c r="I178" i="3"/>
  <c r="L178" i="3"/>
  <c r="L182" i="3"/>
  <c r="L172" i="3"/>
  <c r="G94" i="3"/>
  <c r="I186" i="3"/>
  <c r="I189" i="3"/>
  <c r="I188" i="3"/>
  <c r="I187" i="3"/>
  <c r="I185" i="3"/>
  <c r="I190" i="3"/>
  <c r="G203" i="3"/>
  <c r="G142" i="3"/>
  <c r="G133" i="3"/>
  <c r="G123" i="3"/>
  <c r="I179" i="3"/>
  <c r="I183" i="3"/>
  <c r="I182" i="3"/>
  <c r="L170" i="3"/>
  <c r="I170" i="3"/>
  <c r="L211" i="3"/>
  <c r="I211" i="3"/>
  <c r="L171" i="3"/>
  <c r="I171" i="3"/>
  <c r="I161" i="3"/>
  <c r="L209" i="3"/>
  <c r="I209" i="3"/>
  <c r="L216" i="3"/>
  <c r="I216" i="3"/>
  <c r="L199" i="3"/>
  <c r="I199" i="3"/>
  <c r="L215" i="3"/>
  <c r="I215" i="3"/>
  <c r="I167" i="3"/>
  <c r="L169" i="3"/>
  <c r="I169" i="3"/>
  <c r="L208" i="3"/>
  <c r="I208" i="3"/>
  <c r="I166" i="3"/>
  <c r="L210" i="3"/>
  <c r="I210" i="3"/>
  <c r="I160" i="3"/>
  <c r="I165" i="3"/>
  <c r="L203" i="3"/>
  <c r="I203" i="3"/>
  <c r="I163" i="3"/>
  <c r="G23" i="3"/>
  <c r="G37" i="3"/>
  <c r="G201" i="3"/>
  <c r="G199" i="3"/>
  <c r="G205" i="3"/>
  <c r="I133" i="3"/>
  <c r="L133" i="3"/>
  <c r="L23" i="3"/>
  <c r="G54" i="3"/>
  <c r="I135" i="3"/>
  <c r="L135" i="3"/>
  <c r="L134" i="3"/>
  <c r="L214" i="3"/>
  <c r="G18" i="3"/>
  <c r="I137" i="3"/>
  <c r="L137" i="3"/>
  <c r="G134" i="3"/>
  <c r="G124" i="3"/>
  <c r="I130" i="3"/>
  <c r="L130" i="3"/>
  <c r="L204" i="3"/>
  <c r="G206" i="3"/>
  <c r="G204" i="3"/>
  <c r="G202" i="3"/>
  <c r="L159" i="3"/>
  <c r="L116" i="3"/>
  <c r="L88" i="3"/>
  <c r="L80" i="3"/>
  <c r="L44" i="3"/>
  <c r="G11" i="3"/>
  <c r="G10" i="3"/>
  <c r="G221" i="3"/>
  <c r="L150" i="3"/>
  <c r="L125" i="3"/>
  <c r="L117" i="3"/>
  <c r="L89" i="3"/>
  <c r="L87" i="3"/>
  <c r="L85" i="3"/>
  <c r="L77" i="3"/>
  <c r="L51" i="3"/>
  <c r="L49" i="3"/>
  <c r="L41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4" i="3"/>
  <c r="G183" i="3"/>
  <c r="G15" i="3"/>
  <c r="L12" i="3"/>
  <c r="I12" i="3"/>
  <c r="G12" i="3"/>
  <c r="L5" i="3"/>
  <c r="I5" i="3"/>
  <c r="G5" i="3"/>
  <c r="L15" i="3"/>
  <c r="I15" i="3"/>
  <c r="L16" i="3"/>
  <c r="I16" i="3"/>
  <c r="G16" i="3"/>
  <c r="M88" i="3"/>
  <c r="G27" i="3"/>
  <c r="L176" i="3"/>
  <c r="L206" i="3"/>
  <c r="L175" i="3"/>
  <c r="L149" i="3"/>
  <c r="G182" i="3"/>
  <c r="G220" i="3"/>
  <c r="L212" i="3"/>
  <c r="L141" i="3"/>
  <c r="G212" i="3"/>
  <c r="G141" i="3"/>
  <c r="G130" i="3"/>
  <c r="G122" i="3"/>
  <c r="G163" i="3"/>
  <c r="M116" i="3"/>
  <c r="L36" i="3"/>
  <c r="G197" i="3"/>
  <c r="G214" i="3"/>
  <c r="G36" i="3"/>
  <c r="M182" i="3"/>
  <c r="M172" i="3"/>
  <c r="M80" i="3"/>
  <c r="I145" i="3"/>
  <c r="L122" i="3"/>
  <c r="G189" i="3"/>
  <c r="G159" i="3"/>
  <c r="G52" i="3"/>
  <c r="L190" i="3"/>
  <c r="M77" i="3"/>
  <c r="G156" i="3"/>
  <c r="M49" i="3"/>
  <c r="M85" i="3"/>
  <c r="L202" i="3"/>
  <c r="G140" i="3"/>
  <c r="G129" i="3"/>
  <c r="G121" i="3"/>
  <c r="L140" i="3"/>
  <c r="M41" i="3"/>
  <c r="M150" i="3"/>
  <c r="L93" i="3"/>
  <c r="M175" i="3"/>
  <c r="G116" i="3"/>
  <c r="G80" i="3"/>
  <c r="L185" i="3"/>
  <c r="M149" i="3"/>
  <c r="M176" i="3"/>
  <c r="M174" i="3"/>
  <c r="M179" i="3"/>
  <c r="M184" i="3"/>
  <c r="M141" i="3"/>
  <c r="L146" i="3"/>
  <c r="L81" i="3"/>
  <c r="L53" i="3"/>
  <c r="L4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G200" i="3"/>
  <c r="G138" i="3"/>
  <c r="G127" i="3"/>
  <c r="M125" i="3"/>
  <c r="M122" i="3"/>
  <c r="L27" i="3"/>
  <c r="L119" i="3"/>
  <c r="G137" i="3"/>
  <c r="G126" i="3"/>
  <c r="G44" i="3"/>
  <c r="I155" i="3"/>
  <c r="M178" i="3"/>
  <c r="M140" i="3"/>
  <c r="M89" i="3"/>
  <c r="L201" i="3"/>
  <c r="G76" i="3"/>
  <c r="G40" i="3"/>
  <c r="M23" i="3"/>
  <c r="L40" i="3"/>
  <c r="G120" i="3"/>
  <c r="G92" i="3"/>
  <c r="G84" i="3"/>
  <c r="G48" i="3"/>
  <c r="M117" i="3"/>
  <c r="M146" i="3"/>
  <c r="L120" i="3"/>
  <c r="L19" i="3"/>
  <c r="G139" i="3"/>
  <c r="G128" i="3"/>
  <c r="L92" i="3"/>
  <c r="L84" i="3"/>
  <c r="L76" i="3"/>
  <c r="L48" i="3"/>
  <c r="G187" i="3"/>
  <c r="G19" i="3"/>
  <c r="G184" i="3"/>
  <c r="G135" i="3"/>
  <c r="G125" i="3"/>
  <c r="G88" i="3"/>
  <c r="G174" i="3"/>
  <c r="G53" i="3"/>
  <c r="L183" i="3"/>
  <c r="L177" i="3"/>
  <c r="L127" i="3"/>
  <c r="L115" i="3"/>
  <c r="L91" i="3"/>
  <c r="L83" i="3"/>
  <c r="L79" i="3"/>
  <c r="L75" i="3"/>
  <c r="L38" i="3"/>
  <c r="L25" i="3"/>
  <c r="I38" i="3"/>
  <c r="L126" i="3"/>
  <c r="L158" i="3"/>
  <c r="I154" i="3"/>
  <c r="L189" i="3"/>
  <c r="L138" i="3"/>
  <c r="L47" i="3"/>
  <c r="L123" i="3"/>
  <c r="G190" i="3"/>
  <c r="G158" i="3"/>
  <c r="G150" i="3"/>
  <c r="G146" i="3"/>
  <c r="L200" i="3"/>
  <c r="L157" i="3"/>
  <c r="I153" i="3"/>
  <c r="I25" i="3"/>
  <c r="L186" i="3"/>
  <c r="L173" i="3"/>
  <c r="L43" i="3"/>
  <c r="L39" i="3"/>
  <c r="G185" i="3"/>
  <c r="G186" i="3"/>
  <c r="G157" i="3"/>
  <c r="G209" i="3"/>
  <c r="G153" i="3"/>
  <c r="G149" i="3"/>
  <c r="G145" i="3"/>
  <c r="G115" i="3"/>
  <c r="G79" i="3"/>
  <c r="G75" i="3"/>
  <c r="G177" i="3"/>
  <c r="G169" i="3"/>
  <c r="G21" i="3"/>
  <c r="L198" i="3"/>
  <c r="L188" i="3"/>
  <c r="L144" i="3"/>
  <c r="L129" i="3"/>
  <c r="L37" i="3"/>
  <c r="L33" i="3"/>
  <c r="L24" i="3"/>
  <c r="L20" i="3"/>
  <c r="L18" i="3"/>
  <c r="I127" i="3"/>
  <c r="L142" i="3"/>
  <c r="L21" i="3"/>
  <c r="G213" i="3"/>
  <c r="G208" i="3"/>
  <c r="G119" i="3"/>
  <c r="G154" i="3"/>
  <c r="G91" i="3"/>
  <c r="G87" i="3"/>
  <c r="G83" i="3"/>
  <c r="G173" i="3"/>
  <c r="G176" i="3"/>
  <c r="G168" i="3"/>
  <c r="G51" i="3"/>
  <c r="G47" i="3"/>
  <c r="L187" i="3"/>
  <c r="L22" i="3"/>
  <c r="G22" i="3"/>
  <c r="I144" i="3"/>
  <c r="L52" i="3"/>
  <c r="G160" i="3"/>
  <c r="L160" i="3"/>
  <c r="G35" i="3"/>
  <c r="L35" i="3"/>
  <c r="L165" i="3"/>
  <c r="G166" i="3"/>
  <c r="G165" i="3"/>
  <c r="L34" i="3"/>
  <c r="L121" i="3"/>
  <c r="L118" i="3"/>
  <c r="L94" i="3"/>
  <c r="L90" i="3"/>
  <c r="L86" i="3"/>
  <c r="L82" i="3"/>
  <c r="L78" i="3"/>
  <c r="L54" i="3"/>
  <c r="L50" i="3"/>
  <c r="L46" i="3"/>
  <c r="L42" i="3"/>
  <c r="G215" i="3"/>
  <c r="G148" i="3"/>
  <c r="G144" i="3"/>
  <c r="G118" i="3"/>
  <c r="G82" i="3"/>
  <c r="G78" i="3"/>
  <c r="G46" i="3"/>
  <c r="G42" i="3"/>
  <c r="G34" i="3"/>
  <c r="L197" i="3"/>
  <c r="L143" i="3"/>
  <c r="L139" i="3"/>
  <c r="L128" i="3"/>
  <c r="L124" i="3"/>
  <c r="L4" i="3"/>
  <c r="L166" i="3"/>
  <c r="L148" i="3"/>
  <c r="G211" i="3"/>
  <c r="G216" i="3"/>
  <c r="G151" i="3"/>
  <c r="G147" i="3"/>
  <c r="G117" i="3"/>
  <c r="G90" i="3"/>
  <c r="G86" i="3"/>
  <c r="G81" i="3"/>
  <c r="G77" i="3"/>
  <c r="G178" i="3"/>
  <c r="G172" i="3"/>
  <c r="G41" i="3"/>
  <c r="G33" i="3"/>
  <c r="G50" i="3"/>
  <c r="G45" i="3"/>
  <c r="G39" i="3"/>
  <c r="G25" i="3"/>
  <c r="G20" i="3"/>
  <c r="G4" i="3"/>
  <c r="G210" i="3"/>
  <c r="G143" i="3"/>
  <c r="G152" i="3"/>
  <c r="G93" i="3"/>
  <c r="G89" i="3"/>
  <c r="G85" i="3"/>
  <c r="G170" i="3"/>
  <c r="G161" i="3"/>
  <c r="G49" i="3"/>
  <c r="G38" i="3"/>
  <c r="G24" i="3"/>
  <c r="L26" i="3"/>
  <c r="M26" i="3"/>
  <c r="L161" i="3"/>
  <c r="M161" i="3"/>
  <c r="M166" i="3"/>
  <c r="L151" i="3"/>
  <c r="M151" i="3"/>
  <c r="L147" i="3"/>
  <c r="M147" i="3"/>
  <c r="L168" i="3"/>
  <c r="M168" i="3"/>
  <c r="L163" i="3"/>
  <c r="M163" i="3"/>
  <c r="G198" i="3"/>
  <c r="G188" i="3"/>
  <c r="L167" i="3"/>
  <c r="I162" i="3"/>
  <c r="L162" i="3"/>
  <c r="I156" i="3"/>
  <c r="L156" i="3"/>
  <c r="I152" i="3"/>
  <c r="L152" i="3"/>
  <c r="D2" i="3"/>
  <c r="G171" i="3"/>
  <c r="G167" i="3"/>
  <c r="L213" i="3"/>
  <c r="C2" i="3"/>
  <c r="G175" i="3"/>
  <c r="G179" i="3"/>
  <c r="G162" i="3"/>
  <c r="G43" i="3"/>
  <c r="G26" i="3"/>
  <c r="O18" i="3" l="1"/>
  <c r="Y545" i="2" s="1"/>
  <c r="O4" i="3"/>
  <c r="Y544" i="2" s="1"/>
  <c r="N15" i="3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O114" i="3"/>
  <c r="Y547" i="2" s="1"/>
  <c r="O156" i="3"/>
  <c r="Y549" i="2" s="1"/>
  <c r="O216" i="3"/>
  <c r="O115" i="3"/>
  <c r="Y548" i="2" s="1"/>
  <c r="O33" i="3"/>
  <c r="Y546" i="2" s="1"/>
  <c r="O160" i="3"/>
  <c r="Y550" i="2" s="1"/>
  <c r="O182" i="3"/>
  <c r="Y551" i="2" s="1"/>
  <c r="L226" i="3"/>
  <c r="I223" i="3"/>
  <c r="L225" i="3"/>
  <c r="L224" i="3"/>
  <c r="D232" i="3" l="1"/>
  <c r="F232" i="3" s="1"/>
  <c r="D63" i="4"/>
  <c r="D233" i="3"/>
  <c r="F233" i="3" s="1"/>
  <c r="D231" i="3"/>
  <c r="F231" i="3" s="1"/>
  <c r="D60" i="4"/>
  <c r="E228" i="3" s="1"/>
  <c r="D230" i="3"/>
  <c r="F230" i="3" s="1"/>
  <c r="D229" i="3"/>
  <c r="F229" i="3" s="1"/>
  <c r="G229" i="3" s="1"/>
  <c r="G230" i="3" l="1"/>
  <c r="G231" i="3" s="1"/>
  <c r="D235" i="3"/>
  <c r="G232" i="3" l="1"/>
  <c r="G233" i="3" s="1"/>
  <c r="G234" i="3" s="1"/>
  <c r="D61" i="4" l="1"/>
  <c r="C61" i="4" s="1"/>
  <c r="D62" i="4"/>
  <c r="C62" i="4" s="1"/>
  <c r="H21" i="5" l="1"/>
  <c r="C49" i="5" l="1"/>
  <c r="D39" i="5"/>
  <c r="F32" i="5"/>
  <c r="E38" i="5"/>
  <c r="G49" i="5"/>
  <c r="I33" i="5"/>
  <c r="I32" i="5"/>
  <c r="C50" i="5"/>
  <c r="D55" i="5"/>
  <c r="E30" i="5"/>
  <c r="I39" i="5"/>
  <c r="E34" i="5"/>
  <c r="F40" i="5"/>
  <c r="I41" i="5"/>
  <c r="F37" i="5"/>
  <c r="I56" i="5"/>
  <c r="C44" i="5"/>
  <c r="C30" i="5"/>
  <c r="E56" i="5"/>
  <c r="I28" i="5"/>
  <c r="C41" i="5"/>
  <c r="G45" i="5"/>
  <c r="D37" i="5"/>
  <c r="F36" i="5"/>
  <c r="I52" i="5"/>
  <c r="E51" i="5"/>
  <c r="G56" i="5"/>
  <c r="G28" i="5"/>
  <c r="G30" i="5"/>
  <c r="E31" i="5"/>
  <c r="E58" i="5"/>
  <c r="E33" i="5"/>
  <c r="F30" i="5"/>
  <c r="C37" i="5"/>
  <c r="F44" i="5"/>
  <c r="G55" i="5"/>
  <c r="G48" i="5"/>
  <c r="E35" i="5"/>
  <c r="F49" i="5"/>
  <c r="C45" i="5"/>
  <c r="G34" i="5"/>
  <c r="I30" i="5"/>
  <c r="I60" i="5"/>
  <c r="C59" i="5"/>
  <c r="E45" i="5"/>
  <c r="I47" i="5"/>
  <c r="C54" i="5"/>
  <c r="F47" i="5"/>
  <c r="F60" i="5"/>
  <c r="D35" i="5"/>
  <c r="E50" i="5"/>
  <c r="D30" i="5"/>
  <c r="E28" i="5"/>
  <c r="E52" i="5"/>
  <c r="G46" i="5"/>
  <c r="F41" i="5"/>
  <c r="D33" i="5"/>
  <c r="D31" i="5"/>
  <c r="D43" i="5"/>
  <c r="E59" i="5"/>
  <c r="G60" i="5"/>
  <c r="F57" i="5"/>
  <c r="D48" i="5"/>
  <c r="I31" i="5"/>
  <c r="F50" i="5"/>
  <c r="I37" i="5"/>
  <c r="F51" i="5"/>
  <c r="C52" i="5"/>
  <c r="G54" i="5"/>
  <c r="I29" i="5"/>
  <c r="F34" i="5"/>
  <c r="D60" i="5"/>
  <c r="C51" i="5"/>
  <c r="D29" i="5"/>
  <c r="G33" i="5"/>
  <c r="C32" i="5"/>
  <c r="G38" i="5"/>
  <c r="F28" i="5"/>
  <c r="E53" i="5"/>
  <c r="C35" i="5"/>
  <c r="F35" i="5"/>
  <c r="D57" i="5"/>
  <c r="E44" i="5"/>
  <c r="C40" i="5"/>
  <c r="D58" i="5"/>
  <c r="G57" i="5"/>
  <c r="F29" i="5"/>
  <c r="D51" i="5"/>
  <c r="C47" i="5"/>
  <c r="E60" i="5"/>
  <c r="E36" i="5"/>
  <c r="F55" i="5"/>
  <c r="D54" i="5"/>
  <c r="D59" i="5"/>
  <c r="I46" i="5" l="1"/>
  <c r="F56" i="5"/>
  <c r="I59" i="5"/>
  <c r="J59" i="5" s="1"/>
  <c r="I55" i="5"/>
  <c r="G53" i="5"/>
  <c r="E29" i="5"/>
  <c r="J29" i="5" s="1"/>
  <c r="E40" i="5"/>
  <c r="C48" i="5"/>
  <c r="D34" i="5"/>
  <c r="G37" i="5"/>
  <c r="I35" i="5"/>
  <c r="J35" i="5" s="1"/>
  <c r="E55" i="5"/>
  <c r="F59" i="5"/>
  <c r="E39" i="5"/>
  <c r="J39" i="5" s="1"/>
  <c r="D45" i="5"/>
  <c r="G29" i="5"/>
  <c r="G47" i="5"/>
  <c r="I36" i="5"/>
  <c r="D52" i="5"/>
  <c r="I34" i="5"/>
  <c r="J34" i="5" s="1"/>
  <c r="C33" i="5"/>
  <c r="C57" i="5"/>
  <c r="C39" i="5"/>
  <c r="F52" i="5"/>
  <c r="C28" i="5"/>
  <c r="D38" i="5"/>
  <c r="G42" i="5"/>
  <c r="F33" i="5"/>
  <c r="D32" i="5"/>
  <c r="I53" i="5"/>
  <c r="J53" i="5" s="1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J41" i="5" s="1"/>
  <c r="F38" i="5"/>
  <c r="G41" i="5"/>
  <c r="I54" i="5"/>
  <c r="E47" i="5"/>
  <c r="J47" i="5" s="1"/>
  <c r="D28" i="5"/>
  <c r="G39" i="5"/>
  <c r="D56" i="5"/>
  <c r="C29" i="5"/>
  <c r="I44" i="5"/>
  <c r="J44" i="5" s="1"/>
  <c r="C60" i="5"/>
  <c r="F54" i="5"/>
  <c r="E32" i="5"/>
  <c r="J32" i="5" s="1"/>
  <c r="E57" i="5"/>
  <c r="E43" i="5"/>
  <c r="G58" i="5"/>
  <c r="I57" i="5"/>
  <c r="I45" i="5"/>
  <c r="J45" i="5" s="1"/>
  <c r="I42" i="5"/>
  <c r="D49" i="5"/>
  <c r="I38" i="5"/>
  <c r="J38" i="5" s="1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J50" i="5" s="1"/>
  <c r="F53" i="5"/>
  <c r="G40" i="5"/>
  <c r="C36" i="5"/>
  <c r="F48" i="5"/>
  <c r="F46" i="5"/>
  <c r="F42" i="5"/>
  <c r="G52" i="5"/>
  <c r="G50" i="5"/>
  <c r="E54" i="5"/>
  <c r="F31" i="5"/>
  <c r="I58" i="5"/>
  <c r="J58" i="5" s="1"/>
  <c r="G43" i="5"/>
  <c r="D50" i="5"/>
  <c r="C56" i="5"/>
  <c r="G31" i="5"/>
  <c r="G44" i="5"/>
  <c r="G51" i="5"/>
  <c r="F45" i="5"/>
  <c r="I51" i="5"/>
  <c r="J51" i="5" s="1"/>
  <c r="D53" i="5"/>
  <c r="I43" i="5"/>
  <c r="J28" i="5"/>
  <c r="J56" i="5"/>
  <c r="J52" i="5"/>
  <c r="J33" i="5"/>
  <c r="J30" i="5"/>
  <c r="J36" i="5"/>
  <c r="J60" i="5"/>
  <c r="J31" i="5"/>
  <c r="J42" i="5" l="1"/>
  <c r="J46" i="5"/>
  <c r="J54" i="5"/>
  <c r="J48" i="5"/>
  <c r="J55" i="5"/>
  <c r="J49" i="5"/>
  <c r="J40" i="5"/>
  <c r="J57" i="5"/>
  <c r="J43" i="5"/>
  <c r="Y552" i="2"/>
  <c r="Y555" i="2" s="1"/>
  <c r="Y556" i="2" l="1"/>
  <c r="J61" i="5"/>
  <c r="J62" i="5" s="1"/>
  <c r="J63" i="5" s="1"/>
  <c r="C219" i="3" l="1"/>
  <c r="F219" i="3"/>
  <c r="Y559" i="2"/>
  <c r="Y1" i="2" s="1"/>
  <c r="N219" i="3" l="1"/>
  <c r="N220" i="3" s="1"/>
  <c r="N221" i="3" s="1"/>
  <c r="N222" i="3" s="1"/>
  <c r="G219" i="3"/>
  <c r="G223" i="3" s="1"/>
  <c r="F20" i="4"/>
  <c r="D20" i="4"/>
  <c r="B20" i="4"/>
  <c r="C20" i="4"/>
  <c r="B58" i="4"/>
  <c r="F58" i="4"/>
  <c r="C45" i="4"/>
  <c r="C49" i="4" l="1"/>
  <c r="B32" i="4"/>
  <c r="B52" i="4"/>
  <c r="C57" i="4"/>
  <c r="D24" i="4"/>
  <c r="B38" i="4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D25" i="4"/>
  <c r="D30" i="4"/>
  <c r="B34" i="4"/>
  <c r="C36" i="4"/>
  <c r="B40" i="4"/>
  <c r="B24" i="4"/>
  <c r="D35" i="4"/>
  <c r="F27" i="4"/>
  <c r="F32" i="4"/>
  <c r="C52" i="4"/>
  <c r="C34" i="4"/>
  <c r="D47" i="4"/>
  <c r="B53" i="4"/>
  <c r="F45" i="4"/>
  <c r="B57" i="4"/>
  <c r="G57" i="4" s="1"/>
  <c r="F44" i="4"/>
  <c r="F49" i="4"/>
  <c r="D36" i="4"/>
  <c r="F21" i="4"/>
  <c r="D22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C55" i="4"/>
  <c r="C47" i="4"/>
  <c r="F39" i="4"/>
  <c r="F30" i="4"/>
  <c r="F54" i="4"/>
  <c r="G54" i="4" s="1"/>
  <c r="B49" i="4"/>
  <c r="B47" i="4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F37" i="4"/>
  <c r="B48" i="4"/>
  <c r="B55" i="4"/>
  <c r="D34" i="4"/>
  <c r="D49" i="4"/>
  <c r="D32" i="4"/>
  <c r="D27" i="4"/>
  <c r="B35" i="4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58" i="4"/>
  <c r="G20" i="4"/>
  <c r="G47" i="4" l="1"/>
  <c r="G52" i="4"/>
  <c r="G35" i="4"/>
  <c r="G34" i="4"/>
  <c r="G21" i="4"/>
  <c r="G38" i="4"/>
  <c r="G48" i="4"/>
  <c r="G32" i="4"/>
  <c r="G43" i="4"/>
  <c r="G53" i="4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53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54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Karl-Philip Letourneau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<sst xmlns="http://schemas.openxmlformats.org/spreadsheetml/2006/main" count="1834" uniqueCount="958">
  <si>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</si>
  <si>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</si>
  <si>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</si>
  <si>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</si>
  <si>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</si>
  <si>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</si>
  <si>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</si>
  <si>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</si>
  <si>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</si>
  <si>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</si>
  <si>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</si>
  <si>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</si>
  <si>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</si>
  <si>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</si>
  <si>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</si>
  <si>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</si>
  <si>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</si>
  <si>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</si>
  <si>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</si>
  <si>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</si>
  <si>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</si>
  <si>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</si>
  <si>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</si>
  <si>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</si>
  <si>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</si>
  <si>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</si>
  <si>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</si>
  <si>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</si>
  <si>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</si>
  <si>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</si>
  <si>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</si>
  <si>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</si>
  <si>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</si>
  <si>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</si>
  <si>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</si>
  <si>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</si>
  <si>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</si>
  <si>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</si>
  <si>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</si>
  <si>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</si>
  <si>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</si>
  <si>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</si>
  <si>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</si>
  <si>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</si>
  <si>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</si>
  <si>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</si>
  <si>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</si>
  <si>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</si>
  <si>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</si>
  <si>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</si>
  <si>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</si>
  <si>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</si>
  <si>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</si>
  <si>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</si>
  <si>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</si>
  <si>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</si>
  <si>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</si>
  <si>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</si>
  <si>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</si>
  <si>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</si>
  <si>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</si>
  <si>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</si>
  <si>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</si>
  <si>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</si>
  <si>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</si>
  <si>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</si>
  <si>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</si>
  <si>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</si>
  <si>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</si>
  <si>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</si>
  <si>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</si>
  <si>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</si>
  <si>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</si>
  <si>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</si>
  <si>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</si>
  <si>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</si>
  <si>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</si>
  <si>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</si>
  <si>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</si>
  <si>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</si>
  <si>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</si>
  <si>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</si>
  <si>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</si>
  <si>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</si>
  <si>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</si>
  <si>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</si>
  <si>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</si>
  <si>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</si>
  <si>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</si>
  <si>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</si>
  <si>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</si>
  <si>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</si>
  <si>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</si>
  <si>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</si>
  <si>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</si>
  <si>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</si>
  <si>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</si>
  <si>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</si>
  <si>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</si>
  <si>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</si>
  <si>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</si>
  <si>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</si>
  <si>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</si>
  <si>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</si>
  <si>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</si>
  <si>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</si>
  <si>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</si>
  <si>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</si>
  <si>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</si>
  <si>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</si>
  <si>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</si>
  <si>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</si>
  <si>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</si>
  <si>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</si>
  <si>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</si>
  <si>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</si>
  <si>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</si>
  <si>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</si>
  <si>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</si>
  <si>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</si>
  <si>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</si>
  <si>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</si>
  <si>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</si>
  <si>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</si>
  <si>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</si>
  <si>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</si>
  <si>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</si>
  <si>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</si>
  <si>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</si>
  <si>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</si>
  <si>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</si>
  <si>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</si>
  <si>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</si>
  <si>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</si>
  <si>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</si>
  <si>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</si>
  <si>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</si>
  <si>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</si>
  <si>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</si>
  <si>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</si>
  <si>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</si>
  <si>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</si>
  <si>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</si>
  <si>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</si>
  <si>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</si>
  <si>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</si>
  <si>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</si>
  <si>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</si>
  <si>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</si>
  <si>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</si>
  <si>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</si>
  <si>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</si>
  <si>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</si>
  <si>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</si>
  <si>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</si>
  <si>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</si>
  <si>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</si>
  <si>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</si>
  <si>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</si>
  <si>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</si>
  <si>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</si>
  <si>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</si>
  <si>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</si>
  <si>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</si>
  <si>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</si>
  <si>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</si>
  <si>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</si>
  <si>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</si>
  <si>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</si>
  <si>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</si>
  <si>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</si>
  <si>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</si>
  <si>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</si>
  <si>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</si>
  <si>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</si>
  <si>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</si>
  <si>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</si>
  <si>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</si>
  <si>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</si>
  <si>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</si>
  <si>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</si>
  <si>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</si>
  <si>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</si>
  <si>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</si>
  <si>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</si>
  <si>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</si>
  <si>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</si>
  <si>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</si>
  <si>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</si>
  <si>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</si>
  <si>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</si>
  <si>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</si>
  <si>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</si>
  <si>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</si>
  <si>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</si>
  <si>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</si>
  <si>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</si>
  <si>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</si>
  <si>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</si>
  <si>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</si>
  <si>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</si>
  <si>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</si>
  <si>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</si>
  <si>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</si>
  <si>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</si>
  <si>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</si>
  <si>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</si>
  <si>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</si>
  <si>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</si>
  <si>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</si>
  <si>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</si>
  <si>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</si>
  <si>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</si>
  <si>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</si>
  <si>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</si>
  <si>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</si>
  <si>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</si>
  <si>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</si>
  <si>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</si>
  <si>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</si>
  <si>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</si>
  <si>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</si>
  <si>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</si>
  <si>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</si>
  <si>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</si>
  <si>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</si>
  <si>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</si>
  <si>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</si>
  <si>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</si>
  <si>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</si>
  <si>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</si>
  <si>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</si>
  <si>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</si>
  <si>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</si>
  <si>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</si>
  <si>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</si>
  <si>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</si>
  <si>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</si>
  <si>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</si>
  <si>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</si>
  <si>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</si>
  <si>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</si>
  <si>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</si>
  <si>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</si>
  <si>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</si>
  <si>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</si>
  <si>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</si>
  <si>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</si>
  <si>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</si>
  <si>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</si>
  <si>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</si>
  <si>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</si>
  <si>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</si>
  <si>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</si>
  <si>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</si>
  <si>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</si>
  <si>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</si>
  <si>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</si>
  <si>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</si>
  <si>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</si>
  <si>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</si>
  <si>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</si>
  <si>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</si>
  <si>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</si>
  <si>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</si>
  <si>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</si>
  <si>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</si>
  <si>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</si>
  <si>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</si>
  <si>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</si>
  <si>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</si>
  <si>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</si>
  <si>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</si>
  <si>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</si>
  <si>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</si>
  <si>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</si>
  <si>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</si>
  <si>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</si>
  <si>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</si>
  <si>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</si>
  <si>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</si>
  <si>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</si>
  <si>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</si>
  <si>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</si>
  <si>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</si>
  <si>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</si>
  <si>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</si>
  <si>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</si>
  <si>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</si>
  <si>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</si>
  <si>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</si>
  <si>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</si>
  <si>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</si>
  <si>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</si>
  <si>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</si>
  <si>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</si>
  <si>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</si>
  <si>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</si>
  <si>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</si>
  <si>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</si>
  <si>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</si>
  <si>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</si>
  <si>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</si>
  <si>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</si>
  <si>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</si>
  <si>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</si>
  <si>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</si>
  <si>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</si>
  <si>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</si>
  <si>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</si>
  <si>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</si>
  <si>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</si>
  <si>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</si>
  <si>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</si>
  <si>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</si>
  <si>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</si>
  <si>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</si>
  <si>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</si>
  <si>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</si>
  <si>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</si>
  <si>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</si>
  <si>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</si>
  <si>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</si>
  <si>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</si>
  <si>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</si>
  <si>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</si>
  <si>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</si>
  <si>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</si>
  <si>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</si>
  <si>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</si>
  <si>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</si>
  <si>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</si>
  <si>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</si>
  <si>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</si>
  <si>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</si>
  <si>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</si>
  <si>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</si>
  <si>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</si>
  <si>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</si>
  <si>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</si>
  <si>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</si>
  <si>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</si>
  <si>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</si>
  <si>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</si>
  <si>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</si>
  <si>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</si>
  <si>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</si>
  <si>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</si>
  <si>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</si>
  <si>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</si>
  <si>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</si>
  <si>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</si>
  <si>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</si>
  <si>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</si>
  <si>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</si>
  <si>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</si>
  <si>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</si>
  <si>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</si>
  <si>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</si>
  <si>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</si>
  <si>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</si>
  <si>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</si>
  <si>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</si>
  <si>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</si>
  <si>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</si>
  <si>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</si>
  <si>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</si>
  <si>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</si>
  <si>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</si>
  <si>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</si>
  <si>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</si>
  <si>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</si>
  <si>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</si>
  <si>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</si>
  <si>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</si>
  <si>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</si>
  <si>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</si>
  <si>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</si>
  <si>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</si>
  <si>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</si>
  <si>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</si>
  <si>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</si>
  <si>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</si>
  <si>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</si>
  <si>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</si>
  <si>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</si>
  <si>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</si>
  <si>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</si>
  <si>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</si>
  <si>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</si>
  <si>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</si>
  <si>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</si>
  <si>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</si>
  <si>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</si>
  <si>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</si>
  <si>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</si>
  <si>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</si>
  <si>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</si>
  <si>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</si>
  <si>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</si>
  <si>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</si>
  <si>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</si>
  <si>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</si>
  <si>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</si>
  <si>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</si>
  <si>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</si>
  <si>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</si>
  <si>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</si>
  <si>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</si>
  <si>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</si>
  <si>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</si>
  <si>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</si>
  <si>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</si>
  <si>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</si>
  <si>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</si>
  <si>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</si>
  <si>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</si>
  <si>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</si>
  <si>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</si>
  <si>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</si>
  <si>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</si>
  <si>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</si>
  <si>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</si>
  <si>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</si>
  <si>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</si>
  <si>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</si>
  <si>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</si>
  <si>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</si>
  <si>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</si>
  <si>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</si>
  <si>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</si>
  <si>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</si>
  <si>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</si>
  <si>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</si>
  <si>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</si>
  <si>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</si>
  <si>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</si>
  <si>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</si>
  <si>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</si>
  <si>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</si>
  <si>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</si>
  <si>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</si>
  <si>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</si>
  <si>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</si>
  <si>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</si>
  <si>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</si>
  <si>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</si>
  <si>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</si>
  <si>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</si>
  <si>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</si>
  <si>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</si>
  <si>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</si>
  <si>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</si>
  <si>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</si>
  <si>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</si>
  <si>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</si>
  <si>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</si>
  <si>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</si>
  <si>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</si>
  <si>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</si>
  <si>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</si>
  <si>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</si>
  <si>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</si>
  <si>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</si>
  <si>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</si>
  <si>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</si>
  <si>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</si>
  <si>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</si>
  <si>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</si>
  <si>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</si>
  <si>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</si>
  <si>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</si>
  <si>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</si>
  <si>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</si>
  <si>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</si>
  <si>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</si>
  <si>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</si>
  <si>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</si>
  <si>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</si>
  <si>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</si>
  <si>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</si>
  <si>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</si>
  <si>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</si>
  <si>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</si>
  <si>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</si>
  <si>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</si>
  <si>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</si>
  <si>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</si>
  <si>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</si>
  <si>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</si>
  <si>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</si>
  <si>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</si>
  <si>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</si>
  <si>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</si>
  <si>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</si>
  <si>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</si>
  <si>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</si>
  <si>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</si>
  <si>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</si>
  <si>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</si>
  <si>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</si>
  <si>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</si>
  <si>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</si>
  <si>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</si>
  <si>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</si>
  <si>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</si>
  <si>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</si>
  <si>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</si>
  <si>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</si>
  <si>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</si>
  <si>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</si>
  <si>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</si>
  <si>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</si>
  <si>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</si>
  <si>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</si>
  <si>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</si>
  <si>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</si>
  <si>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</si>
  <si>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</si>
  <si>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</si>
  <si>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</si>
  <si>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</si>
  <si>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</si>
  <si>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</si>
  <si>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</si>
  <si>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</si>
  <si>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</si>
  <si>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</si>
  <si>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</si>
  <si>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</si>
  <si>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</si>
  <si>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</si>
  <si>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</si>
  <si>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</si>
  <si>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</si>
  <si>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</si>
  <si>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</si>
  <si>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</si>
  <si>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</si>
  <si>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</si>
  <si>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</si>
  <si>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</si>
  <si>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</si>
  <si>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</si>
  <si>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</si>
  <si>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</si>
  <si>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</si>
  <si>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</si>
  <si>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</si>
  <si>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</si>
  <si>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</si>
  <si>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</si>
  <si>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</si>
  <si>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</si>
  <si>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</si>
  <si>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</si>
  <si>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</si>
  <si>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</si>
  <si>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</si>
  <si>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</si>
  <si>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</si>
  <si>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</si>
  <si>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</si>
  <si>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</si>
  <si>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</si>
  <si>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</si>
  <si>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</si>
  <si>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</si>
  <si>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</si>
  <si>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</si>
  <si>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</si>
  <si>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</si>
  <si>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</si>
  <si>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</si>
  <si>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</si>
  <si>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</si>
  <si>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</si>
  <si>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</si>
  <si>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</si>
  <si>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</si>
  <si>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</si>
  <si>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</si>
  <si>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</si>
  <si>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</si>
  <si>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</si>
  <si>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</si>
  <si>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</si>
  <si>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</si>
  <si>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</si>
  <si>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</si>
  <si>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</si>
  <si>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</si>
  <si>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</si>
  <si>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</si>
  <si>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</si>
  <si>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</si>
  <si>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</si>
  <si>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</si>
  <si>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</si>
  <si>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</si>
  <si>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</si>
  <si>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</si>
  <si>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</si>
  <si>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</si>
  <si>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</si>
  <si>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</si>
  <si>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</si>
  <si>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</si>
  <si>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</si>
  <si>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</si>
  <si>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</si>
  <si>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</si>
  <si>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</si>
  <si>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</si>
  <si>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</si>
  <si>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</si>
  <si>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</si>
  <si>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</si>
  <si>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</si>
  <si>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</si>
  <si>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</si>
  <si>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</si>
  <si>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</si>
  <si>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</si>
  <si>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</si>
  <si>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</si>
  <si>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</si>
  <si>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</si>
  <si>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</si>
  <si>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</si>
  <si>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</si>
  <si>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</si>
  <si>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</si>
  <si>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</si>
  <si>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</si>
  <si>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</si>
  <si>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</si>
  <si>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</si>
  <si>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</si>
  <si>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</si>
  <si>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</si>
  <si>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</si>
  <si>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</si>
  <si>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</si>
  <si>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</si>
  <si>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</si>
  <si>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</si>
  <si>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</si>
  <si>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</si>
  <si>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</si>
  <si>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</si>
  <si>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</si>
  <si>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</si>
  <si>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</si>
  <si>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</si>
  <si>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</si>
  <si>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</si>
  <si>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</si>
  <si>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</si>
  <si>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</si>
  <si>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</si>
  <si>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</si>
  <si>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</si>
  <si>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</si>
  <si>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</si>
  <si>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</si>
  <si>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</si>
  <si>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</si>
  <si>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</si>
  <si>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</si>
  <si>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</si>
  <si>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</si>
  <si>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</si>
  <si>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</si>
  <si>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</si>
  <si>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</si>
  <si>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</si>
  <si>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</si>
  <si>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</si>
  <si>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</si>
  <si>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</si>
  <si>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</si>
  <si>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</si>
  <si>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</si>
  <si>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</si>
  <si>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</si>
  <si>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</si>
  <si>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</si>
  <si>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</si>
  <si>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</si>
  <si>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</si>
  <si>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</si>
  <si>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</si>
  <si>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</si>
  <si>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</si>
  <si>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</si>
  <si>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</si>
  <si>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</si>
  <si>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</si>
  <si>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</si>
  <si>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</si>
  <si>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</si>
  <si>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</si>
  <si>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</si>
  <si>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</si>
  <si>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</si>
  <si>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</si>
  <si>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</si>
  <si>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</si>
  <si>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</si>
  <si>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</si>
  <si>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</si>
  <si>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</si>
  <si>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</si>
  <si>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</si>
  <si>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</si>
  <si>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</si>
  <si>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</si>
  <si>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</si>
  <si>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</si>
  <si>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</si>
  <si>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</si>
  <si>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</si>
  <si>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</si>
  <si>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</si>
  <si>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</si>
  <si>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</si>
  <si>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</si>
  <si>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</si>
  <si>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</si>
  <si>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</si>
  <si>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</si>
  <si>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</si>
  <si>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</si>
  <si>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</si>
  <si>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</si>
  <si>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</si>
  <si>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</si>
  <si>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</si>
  <si>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</si>
  <si>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</si>
  <si>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</si>
  <si>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</si>
  <si>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</si>
  <si>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</si>
  <si>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</si>
  <si>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</si>
  <si>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</si>
  <si>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</si>
  <si>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</si>
  <si>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</si>
  <si>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</si>
  <si>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</si>
  <si>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</si>
  <si>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</si>
  <si>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</si>
  <si>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</si>
  <si>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</si>
  <si>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</si>
  <si>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</si>
  <si>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</si>
  <si>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</si>
  <si>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</si>
  <si>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</si>
  <si>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</si>
  <si>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</si>
  <si>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</si>
  <si>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</si>
  <si>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</si>
  <si>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</si>
  <si>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</si>
  <si>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</si>
  <si>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</si>
  <si>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</si>
  <si>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</si>
  <si>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</si>
  <si>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</si>
  <si>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</si>
  <si>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</si>
  <si>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</si>
  <si>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</si>
  <si>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</si>
  <si>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</si>
  <si>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</si>
  <si>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</si>
  <si>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</si>
  <si>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</si>
  <si>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</si>
  <si>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</si>
  <si>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</si>
  <si>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</si>
  <si>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</si>
  <si>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</si>
  <si>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</si>
  <si>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</si>
  <si>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</si>
  <si>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</si>
  <si>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</si>
  <si>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</si>
  <si>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</si>
  <si>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</si>
  <si>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</si>
  <si>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</si>
  <si>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</si>
  <si>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</si>
  <si>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</si>
  <si>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</si>
  <si>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</si>
  <si>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</si>
  <si>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</si>
  <si>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</si>
  <si>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</si>
  <si>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</si>
  <si>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</si>
  <si>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</si>
  <si>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</si>
  <si>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</si>
  <si>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</si>
  <si>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</si>
  <si>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</si>
  <si>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Yellow 8' steel pipe PE coated</t>
  </si>
  <si>
    <t>Ivory 4 meters steel pipe PE coated</t>
  </si>
  <si>
    <t>Blue 4 meters steel pipe PE coated</t>
  </si>
  <si>
    <t>Black 4 meters steel pipe PE coated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</si>
  <si>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</si>
  <si>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</si>
  <si>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</si>
  <si>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</si>
  <si>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</si>
  <si>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</si>
  <si>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</si>
  <si>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</si>
  <si>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</si>
  <si>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</si>
  <si>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</si>
  <si>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</si>
  <si>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</si>
  <si>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</si>
  <si>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</si>
  <si>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</si>
  <si>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</si>
  <si>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</si>
  <si>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</si>
  <si>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</si>
  <si>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</si>
  <si>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</si>
  <si>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</si>
  <si>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</si>
  <si>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</si>
  <si>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</si>
  <si>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</si>
  <si>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</si>
  <si>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</si>
  <si>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</si>
  <si>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</si>
  <si>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</si>
  <si>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</si>
  <si>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</si>
  <si>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</si>
  <si>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</si>
  <si>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</si>
  <si>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</si>
  <si>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</si>
  <si>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</si>
  <si>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</si>
  <si>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</si>
  <si>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</si>
  <si>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</si>
  <si>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</si>
  <si>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</si>
  <si>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</si>
  <si>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</si>
  <si>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</si>
  <si>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</si>
  <si>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</si>
  <si>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</si>
  <si>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</si>
  <si>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</si>
  <si>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</si>
  <si>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</si>
  <si>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</si>
  <si>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</si>
  <si>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</si>
  <si>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</si>
  <si>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</si>
  <si>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</si>
  <si>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</si>
  <si>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</si>
  <si>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</si>
  <si>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</si>
  <si>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</si>
  <si>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</si>
  <si>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</si>
  <si>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</si>
  <si>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</si>
  <si>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</si>
  <si>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</si>
  <si>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</si>
  <si>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</si>
  <si>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</si>
  <si>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</si>
  <si>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</si>
  <si>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</si>
  <si>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</si>
  <si>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</si>
  <si>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</si>
  <si>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</si>
  <si>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</si>
  <si>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</si>
  <si>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</si>
  <si>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</si>
  <si>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</si>
  <si>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</si>
  <si>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</si>
  <si>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</si>
  <si>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</si>
  <si>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</si>
  <si>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</si>
  <si>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</si>
  <si>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</si>
  <si>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</si>
  <si>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</si>
  <si>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</si>
  <si>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</si>
  <si>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</si>
  <si>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</si>
  <si>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</si>
  <si>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</si>
  <si>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Square screws #8 X 1/2" to install accessories</t>
  </si>
  <si>
    <t>US PRICE LIST 2020</t>
  </si>
  <si>
    <t xml:space="preserve">85MM ROLLER TRACK </t>
  </si>
  <si>
    <t>R85-RT96</t>
  </si>
  <si>
    <t>R85-MS</t>
  </si>
  <si>
    <t>R85-TS</t>
  </si>
  <si>
    <t>R85-CS</t>
  </si>
  <si>
    <t>W-3ES</t>
  </si>
  <si>
    <t>3" swivel stem caster</t>
  </si>
  <si>
    <t>KIT-MULTI</t>
  </si>
  <si>
    <t xml:space="preserve">Multi structures kit         </t>
  </si>
  <si>
    <t>Workstation starter kit   Build 2 of structures</t>
  </si>
  <si>
    <t>Small starter kit                    Build 2 of 5 structures</t>
  </si>
  <si>
    <t>Cart starter kit              Build 2 of 5 structures</t>
  </si>
  <si>
    <t>Flow rack starter kit                 Build 2 of 5 structures</t>
  </si>
  <si>
    <t>General starter kit               Build 2 of 5 structures</t>
  </si>
  <si>
    <t>T-WRENCH</t>
  </si>
  <si>
    <t>L-M77012</t>
  </si>
  <si>
    <t>L-C77012</t>
  </si>
  <si>
    <t>Motor driven lift kit  : 770lbs cap. 12'' stroke</t>
  </si>
  <si>
    <t>Crank driven lift kit  :770lbs cap. 12'' stroke</t>
  </si>
  <si>
    <t>Wrench for W-3ES wheel</t>
  </si>
  <si>
    <t>Counter screws #8 x1" to install decking</t>
  </si>
  <si>
    <t>Atlanta + Montreal + Toronto + California</t>
  </si>
  <si>
    <t>0,31460</t>
  </si>
  <si>
    <t>0,50160</t>
  </si>
  <si>
    <t>F-SF81</t>
  </si>
  <si>
    <t>Flexpipe Inc</t>
  </si>
  <si>
    <t xml:space="preserve">   </t>
  </si>
  <si>
    <t>KIT-SMALL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</si>
</sst>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  <font>
      <b/>
      <u/>
      <sz val="10"/>
      <color rgb="FFFF9B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45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" fillId="6" borderId="40" xfId="0" applyFont="1" applyFill="1" applyBorder="1" applyAlignment="1" applyProtection="1">
      <alignment horizontal="left" vertical="center"/>
    </xf>
    <xf numFmtId="167" fontId="53" fillId="6" borderId="7" xfId="0" applyNumberFormat="1" applyFont="1" applyFill="1" applyBorder="1" applyAlignment="1">
      <alignment horizontal="right"/>
    </xf>
    <xf numFmtId="167" fontId="3" fillId="20" borderId="0" xfId="0" applyNumberFormat="1" applyFont="1" applyFill="1" applyAlignment="1">
      <alignment horizontal="right"/>
    </xf>
    <xf numFmtId="0" fontId="32" fillId="20" borderId="7" xfId="0" applyFont="1" applyFill="1" applyBorder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169" fontId="130" fillId="6" borderId="38" xfId="4" applyNumberFormat="1" applyFont="1" applyFill="1" applyBorder="1" applyAlignment="1" applyProtection="1">
      <alignment horizontal="center"/>
    </xf>
    <xf numFmtId="169" fontId="130" fillId="6" borderId="39" xfId="4" applyNumberFormat="1" applyFont="1" applyFill="1" applyBorder="1" applyAlignment="1" applyProtection="1">
      <alignment horizontal="center"/>
    </xf>
    <xf numFmtId="169" fontId="130" fillId="6" borderId="40" xfId="4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169" fontId="79" fillId="0" borderId="50" xfId="2" applyNumberFormat="1" applyFont="1" applyBorder="1" applyAlignment="1" applyProtection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82" fillId="20" borderId="50" xfId="0" applyFont="1" applyFill="1" applyBorder="1" applyAlignment="1" applyProtection="1">
      <alignment horizontal="center"/>
      <protection locked="0"/>
    </xf>
    <xf numFmtId="169" fontId="79" fillId="0" borderId="50" xfId="2" applyNumberFormat="1" applyFont="1" applyFill="1" applyBorder="1" applyAlignment="1" applyProtection="1">
      <alignment horizontal="center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169" fontId="83" fillId="6" borderId="36" xfId="2" applyNumberFormat="1" applyFont="1" applyFill="1" applyBorder="1" applyAlignment="1" applyProtection="1">
      <alignment horizontal="center"/>
    </xf>
    <xf numFmtId="169" fontId="83" fillId="6" borderId="37" xfId="2" applyNumberFormat="1" applyFont="1" applyFill="1" applyBorder="1" applyAlignment="1" applyProtection="1">
      <alignment horizontal="center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32" fillId="23" borderId="34" xfId="0" applyFont="1" applyFill="1" applyBorder="1" applyAlignment="1" applyProtection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75" fillId="11" borderId="26" xfId="4" applyFont="1" applyFill="1" applyBorder="1" applyAlignment="1" applyProtection="1">
      <alignment horizontal="center" vertic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5" fillId="11" borderId="0" xfId="4" applyFont="1" applyFill="1" applyBorder="1" applyAlignment="1" applyProtection="1">
      <alignment horizontal="center" vertic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0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6" borderId="38" xfId="0" applyNumberFormat="1" applyFont="1" applyFill="1" applyBorder="1" applyAlignment="1" applyProtection="1">
      <alignment horizontal="center"/>
    </xf>
    <xf numFmtId="0" fontId="83" fillId="6" borderId="39" xfId="0" applyNumberFormat="1" applyFont="1" applyFill="1" applyBorder="1" applyAlignment="1" applyProtection="1">
      <alignment horizontal="center"/>
    </xf>
    <xf numFmtId="0" fontId="83" fillId="6" borderId="40" xfId="0" applyNumberFormat="1" applyFont="1" applyFill="1" applyBorder="1" applyAlignment="1" applyProtection="1">
      <alignment horizont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24" borderId="111" xfId="0" applyFont="1" applyFill="1" applyBorder="1" applyAlignment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3" fillId="6" borderId="33" xfId="0" applyNumberFormat="1" applyFont="1" applyFill="1" applyBorder="1" applyAlignment="1" applyProtection="1">
      <alignment horizontal="center"/>
    </xf>
    <xf numFmtId="0" fontId="83" fillId="6" borderId="34" xfId="0" applyNumberFormat="1" applyFont="1" applyFill="1" applyBorder="1" applyAlignment="1" applyProtection="1">
      <alignment horizontal="center"/>
    </xf>
    <xf numFmtId="0" fontId="83" fillId="6" borderId="35" xfId="0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0" fontId="79" fillId="20" borderId="0" xfId="0" applyNumberFormat="1" applyFont="1" applyFill="1" applyBorder="1" applyAlignment="1" applyProtection="1">
      <alignment horizontal="center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0" fontId="83" fillId="0" borderId="0" xfId="0" applyFont="1" applyFill="1" applyAlignment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169" fontId="79" fillId="0" borderId="39" xfId="2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0" fontId="79" fillId="20" borderId="0" xfId="0" applyNumberFormat="1" applyFont="1" applyFill="1" applyBorder="1" applyAlignment="1" applyProtection="1">
      <alignment horizontal="center" vertical="center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169" fontId="79" fillId="25" borderId="0" xfId="2" applyNumberFormat="1" applyFont="1" applyFill="1" applyBorder="1" applyAlignment="1" applyProtection="1">
      <alignment horizont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124" xfId="2" applyNumberFormat="1" applyFont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82" fillId="20" borderId="95" xfId="0" applyFont="1" applyFill="1" applyBorder="1" applyAlignment="1" applyProtection="1">
      <alignment horizontal="center"/>
      <protection locked="0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vertical="center" wrapText="1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169" fontId="79" fillId="0" borderId="86" xfId="2" applyNumberFormat="1" applyFont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84" fillId="20" borderId="0" xfId="0" applyFont="1" applyFill="1" applyBorder="1" applyAlignment="1" applyProtection="1">
      <alignment horizontal="center" wrapText="1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79" fillId="19" borderId="93" xfId="0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31" fillId="0" borderId="0" xfId="0" applyFont="1" applyBorder="1" applyAlignment="1" applyProtection="1">
      <alignment horizontal="center" vertical="center" textRotation="90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82" fillId="20" borderId="55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51" xfId="0" applyNumberFormat="1" applyFont="1" applyFill="1" applyBorder="1" applyAlignment="1" applyProtection="1">
      <alignment horizont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170" fontId="99" fillId="20" borderId="51" xfId="0" applyNumberFormat="1" applyFont="1" applyFill="1" applyBorder="1" applyAlignment="1">
      <alignment horizontal="right" vertical="center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0" fontId="94" fillId="11" borderId="27" xfId="4" applyFont="1" applyFill="1" applyBorder="1" applyAlignment="1" applyProtection="1">
      <alignment horizontal="center" vertical="center" wrapText="1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61" fillId="0" borderId="0" xfId="4" applyFont="1" applyFill="1" applyBorder="1" applyAlignment="1" applyProtection="1">
      <alignment horizontal="left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169" fontId="98" fillId="22" borderId="0" xfId="0" applyNumberFormat="1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166" fontId="42" fillId="0" borderId="23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center"/>
    </xf>
    <xf numFmtId="166" fontId="42" fillId="0" borderId="25" xfId="0" applyNumberFormat="1" applyFont="1" applyFill="1" applyBorder="1" applyAlignment="1">
      <alignment horizontal="center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21" borderId="25" xfId="0" applyNumberFormat="1" applyFont="1" applyFill="1" applyBorder="1" applyAlignment="1">
      <alignment horizontal="center"/>
    </xf>
    <xf numFmtId="166" fontId="42" fillId="6" borderId="23" xfId="0" applyNumberFormat="1" applyFont="1" applyFill="1" applyBorder="1" applyAlignment="1">
      <alignment horizontal="center"/>
    </xf>
    <xf numFmtId="166" fontId="42" fillId="6" borderId="24" xfId="0" applyNumberFormat="1" applyFont="1" applyFill="1" applyBorder="1" applyAlignment="1">
      <alignment horizontal="center"/>
    </xf>
    <xf numFmtId="166" fontId="42" fillId="6" borderId="25" xfId="0" applyNumberFormat="1" applyFont="1" applyFill="1" applyBorder="1" applyAlignment="1">
      <alignment horizontal="center"/>
    </xf>
    <xf numFmtId="166" fontId="42" fillId="25" borderId="23" xfId="0" applyNumberFormat="1" applyFont="1" applyFill="1" applyBorder="1" applyAlignment="1">
      <alignment horizontal="center"/>
    </xf>
    <xf numFmtId="166" fontId="42" fillId="25" borderId="24" xfId="0" applyNumberFormat="1" applyFont="1" applyFill="1" applyBorder="1" applyAlignment="1">
      <alignment horizontal="center"/>
    </xf>
    <xf numFmtId="166" fontId="42" fillId="25" borderId="25" xfId="0" applyNumberFormat="1" applyFont="1" applyFill="1" applyBorder="1" applyAlignment="1">
      <alignment horizontal="center"/>
    </xf>
    <xf numFmtId="166" fontId="42" fillId="21" borderId="23" xfId="2" applyNumberFormat="1" applyFont="1" applyFill="1" applyBorder="1" applyAlignment="1">
      <alignment horizontal="center"/>
    </xf>
    <xf numFmtId="166" fontId="42" fillId="21" borderId="24" xfId="2" applyNumberFormat="1" applyFont="1" applyFill="1" applyBorder="1" applyAlignment="1">
      <alignment horizont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6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FF9B00"/>
      <color rgb="FFB9B4AF"/>
      <color rgb="FF0000FF"/>
      <color rgb="FF91D04C"/>
      <color rgb="FFFF6400"/>
      <color rgb="FFFF6600"/>
      <color rgb="FFB2DE82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openxmlformats.org/officeDocument/2006/relationships/image" Target="../media/image154.png"/><Relationship Id="rId170" Type="http://schemas.openxmlformats.org/officeDocument/2006/relationships/image" Target="../media/image163.png"/><Relationship Id="rId191" Type="http://schemas.openxmlformats.org/officeDocument/2006/relationships/image" Target="../media/image184.jpeg"/><Relationship Id="rId205" Type="http://schemas.openxmlformats.org/officeDocument/2006/relationships/image" Target="../media/image198.jpeg"/><Relationship Id="rId16" Type="http://schemas.openxmlformats.org/officeDocument/2006/relationships/image" Target="../media/image16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microsoft.com/office/2007/relationships/hdphoto" Target="../media/hdphoto2.wdp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microsoft.com/office/2007/relationships/hdphoto" Target="../media/hdphoto6.wdp"/><Relationship Id="rId165" Type="http://schemas.openxmlformats.org/officeDocument/2006/relationships/image" Target="../media/image158.jpeg"/><Relationship Id="rId181" Type="http://schemas.openxmlformats.org/officeDocument/2006/relationships/image" Target="../media/image174.jpeg"/><Relationship Id="rId186" Type="http://schemas.openxmlformats.org/officeDocument/2006/relationships/image" Target="../media/image179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2.png"/><Relationship Id="rId171" Type="http://schemas.openxmlformats.org/officeDocument/2006/relationships/image" Target="../media/image164.jpeg"/><Relationship Id="rId176" Type="http://schemas.openxmlformats.org/officeDocument/2006/relationships/image" Target="../media/image169.jpeg"/><Relationship Id="rId192" Type="http://schemas.openxmlformats.org/officeDocument/2006/relationships/image" Target="../media/image185.jpeg"/><Relationship Id="rId197" Type="http://schemas.openxmlformats.org/officeDocument/2006/relationships/image" Target="../media/image190.jpeg"/><Relationship Id="rId206" Type="http://schemas.openxmlformats.org/officeDocument/2006/relationships/image" Target="../media/image199.jpeg"/><Relationship Id="rId201" Type="http://schemas.openxmlformats.org/officeDocument/2006/relationships/image" Target="../media/image194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openxmlformats.org/officeDocument/2006/relationships/image" Target="../media/image155.png"/><Relationship Id="rId166" Type="http://schemas.openxmlformats.org/officeDocument/2006/relationships/image" Target="../media/image159.jpeg"/><Relationship Id="rId182" Type="http://schemas.openxmlformats.org/officeDocument/2006/relationships/image" Target="../media/image175.jpeg"/><Relationship Id="rId187" Type="http://schemas.openxmlformats.org/officeDocument/2006/relationships/image" Target="../media/image18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microsoft.com/office/2007/relationships/hdphoto" Target="../media/hdphoto4.wdp"/><Relationship Id="rId177" Type="http://schemas.openxmlformats.org/officeDocument/2006/relationships/image" Target="../media/image170.jpeg"/><Relationship Id="rId198" Type="http://schemas.openxmlformats.org/officeDocument/2006/relationships/image" Target="../media/image191.png"/><Relationship Id="rId172" Type="http://schemas.openxmlformats.org/officeDocument/2006/relationships/image" Target="../media/image165.jpeg"/><Relationship Id="rId193" Type="http://schemas.openxmlformats.org/officeDocument/2006/relationships/image" Target="../media/image186.jpeg"/><Relationship Id="rId202" Type="http://schemas.openxmlformats.org/officeDocument/2006/relationships/image" Target="../media/image195.jpeg"/><Relationship Id="rId207" Type="http://schemas.openxmlformats.org/officeDocument/2006/relationships/image" Target="../media/image200.jp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openxmlformats.org/officeDocument/2006/relationships/image" Target="../media/image160.jpeg"/><Relationship Id="rId188" Type="http://schemas.openxmlformats.org/officeDocument/2006/relationships/image" Target="../media/image181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7.wdp"/><Relationship Id="rId183" Type="http://schemas.openxmlformats.org/officeDocument/2006/relationships/image" Target="../media/image176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pn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3.png"/><Relationship Id="rId178" Type="http://schemas.openxmlformats.org/officeDocument/2006/relationships/image" Target="../media/image171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6.jpeg"/><Relationship Id="rId194" Type="http://schemas.openxmlformats.org/officeDocument/2006/relationships/image" Target="../media/image187.jpeg"/><Relationship Id="rId199" Type="http://schemas.openxmlformats.org/officeDocument/2006/relationships/image" Target="../media/image192.jpeg"/><Relationship Id="rId203" Type="http://schemas.openxmlformats.org/officeDocument/2006/relationships/image" Target="../media/image196.jpeg"/><Relationship Id="rId208" Type="http://schemas.openxmlformats.org/officeDocument/2006/relationships/image" Target="../media/image201.jp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1.pn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56.jpeg"/><Relationship Id="rId184" Type="http://schemas.openxmlformats.org/officeDocument/2006/relationships/image" Target="../media/image177.png"/><Relationship Id="rId189" Type="http://schemas.openxmlformats.org/officeDocument/2006/relationships/image" Target="../media/image182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gif"/><Relationship Id="rId137" Type="http://schemas.openxmlformats.org/officeDocument/2006/relationships/image" Target="../media/image135.jpeg"/><Relationship Id="rId158" Type="http://schemas.microsoft.com/office/2007/relationships/hdphoto" Target="../media/hdphoto5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png"/><Relationship Id="rId174" Type="http://schemas.openxmlformats.org/officeDocument/2006/relationships/image" Target="../media/image167.jpeg"/><Relationship Id="rId179" Type="http://schemas.openxmlformats.org/officeDocument/2006/relationships/image" Target="../media/image172.jpeg"/><Relationship Id="rId195" Type="http://schemas.openxmlformats.org/officeDocument/2006/relationships/image" Target="../media/image188.jpeg"/><Relationship Id="rId190" Type="http://schemas.openxmlformats.org/officeDocument/2006/relationships/image" Target="../media/image183.jpeg"/><Relationship Id="rId204" Type="http://schemas.openxmlformats.org/officeDocument/2006/relationships/image" Target="../media/image197.jpe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pn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7.png"/><Relationship Id="rId169" Type="http://schemas.openxmlformats.org/officeDocument/2006/relationships/image" Target="../media/image162.png"/><Relationship Id="rId185" Type="http://schemas.openxmlformats.org/officeDocument/2006/relationships/image" Target="../media/image178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3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microsoft.com/office/2007/relationships/hdphoto" Target="../media/hdphoto3.wdp"/><Relationship Id="rId175" Type="http://schemas.openxmlformats.org/officeDocument/2006/relationships/image" Target="../media/image168.jpeg"/><Relationship Id="rId196" Type="http://schemas.openxmlformats.org/officeDocument/2006/relationships/image" Target="../media/image189.jpeg"/><Relationship Id="rId200" Type="http://schemas.openxmlformats.org/officeDocument/2006/relationships/image" Target="../media/image19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323</xdr:row>
      <xdr:rowOff>19050</xdr:rowOff>
    </xdr:from>
    <xdr:to>
      <xdr:col>21</xdr:col>
      <xdr:colOff>105001</xdr:colOff>
      <xdr:row>328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00000000-0008-0000-0000-00006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312</xdr:row>
      <xdr:rowOff>9525</xdr:rowOff>
    </xdr:from>
    <xdr:to>
      <xdr:col>26</xdr:col>
      <xdr:colOff>197183</xdr:colOff>
      <xdr:row>317</xdr:row>
      <xdr:rowOff>126452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312</xdr:row>
      <xdr:rowOff>19050</xdr:rowOff>
    </xdr:from>
    <xdr:to>
      <xdr:col>21</xdr:col>
      <xdr:colOff>164045</xdr:colOff>
      <xdr:row>317</xdr:row>
      <xdr:rowOff>178906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168</xdr:row>
      <xdr:rowOff>76200</xdr:rowOff>
    </xdr:from>
    <xdr:to>
      <xdr:col>16</xdr:col>
      <xdr:colOff>250424</xdr:colOff>
      <xdr:row>173</xdr:row>
      <xdr:rowOff>140166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168</xdr:row>
      <xdr:rowOff>47625</xdr:rowOff>
    </xdr:from>
    <xdr:to>
      <xdr:col>11</xdr:col>
      <xdr:colOff>351143</xdr:colOff>
      <xdr:row>173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495</xdr:row>
      <xdr:rowOff>38100</xdr:rowOff>
    </xdr:from>
    <xdr:to>
      <xdr:col>6</xdr:col>
      <xdr:colOff>21291</xdr:colOff>
      <xdr:row>500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495</xdr:row>
      <xdr:rowOff>51099</xdr:rowOff>
    </xdr:from>
    <xdr:to>
      <xdr:col>10</xdr:col>
      <xdr:colOff>388566</xdr:colOff>
      <xdr:row>500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495</xdr:row>
      <xdr:rowOff>30480</xdr:rowOff>
    </xdr:from>
    <xdr:to>
      <xdr:col>15</xdr:col>
      <xdr:colOff>287109</xdr:colOff>
      <xdr:row>500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495</xdr:row>
      <xdr:rowOff>30480</xdr:rowOff>
    </xdr:from>
    <xdr:to>
      <xdr:col>21</xdr:col>
      <xdr:colOff>57150</xdr:colOff>
      <xdr:row>500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103</xdr:row>
      <xdr:rowOff>30480</xdr:rowOff>
    </xdr:from>
    <xdr:to>
      <xdr:col>16</xdr:col>
      <xdr:colOff>131496</xdr:colOff>
      <xdr:row>108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425</xdr:row>
      <xdr:rowOff>7870</xdr:rowOff>
    </xdr:from>
    <xdr:to>
      <xdr:col>16</xdr:col>
      <xdr:colOff>114746</xdr:colOff>
      <xdr:row>430</xdr:row>
      <xdr:rowOff>88798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391</xdr:row>
      <xdr:rowOff>167640</xdr:rowOff>
    </xdr:from>
    <xdr:to>
      <xdr:col>10</xdr:col>
      <xdr:colOff>321465</xdr:colOff>
      <xdr:row>395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391</xdr:row>
      <xdr:rowOff>114300</xdr:rowOff>
    </xdr:from>
    <xdr:to>
      <xdr:col>6</xdr:col>
      <xdr:colOff>212090</xdr:colOff>
      <xdr:row>396</xdr:row>
      <xdr:rowOff>9070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495</xdr:row>
      <xdr:rowOff>45720</xdr:rowOff>
    </xdr:from>
    <xdr:to>
      <xdr:col>25</xdr:col>
      <xdr:colOff>288021</xdr:colOff>
      <xdr:row>500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425</xdr:row>
      <xdr:rowOff>60960</xdr:rowOff>
    </xdr:from>
    <xdr:to>
      <xdr:col>6</xdr:col>
      <xdr:colOff>78740</xdr:colOff>
      <xdr:row>430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425</xdr:row>
      <xdr:rowOff>91440</xdr:rowOff>
    </xdr:from>
    <xdr:to>
      <xdr:col>10</xdr:col>
      <xdr:colOff>398225</xdr:colOff>
      <xdr:row>430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414</xdr:row>
      <xdr:rowOff>45271</xdr:rowOff>
    </xdr:from>
    <xdr:to>
      <xdr:col>20</xdr:col>
      <xdr:colOff>249255</xdr:colOff>
      <xdr:row>420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393424</xdr:colOff>
      <xdr:row>30</xdr:row>
      <xdr:rowOff>82550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437</xdr:row>
      <xdr:rowOff>66675</xdr:rowOff>
    </xdr:from>
    <xdr:to>
      <xdr:col>5</xdr:col>
      <xdr:colOff>238750</xdr:colOff>
      <xdr:row>441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505</xdr:row>
      <xdr:rowOff>17930</xdr:rowOff>
    </xdr:from>
    <xdr:to>
      <xdr:col>6</xdr:col>
      <xdr:colOff>18602</xdr:colOff>
      <xdr:row>510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135</xdr:row>
      <xdr:rowOff>35858</xdr:rowOff>
    </xdr:from>
    <xdr:to>
      <xdr:col>6</xdr:col>
      <xdr:colOff>168676</xdr:colOff>
      <xdr:row>140</xdr:row>
      <xdr:rowOff>84503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525</xdr:row>
      <xdr:rowOff>15733</xdr:rowOff>
    </xdr:from>
    <xdr:to>
      <xdr:col>21</xdr:col>
      <xdr:colOff>83335</xdr:colOff>
      <xdr:row>530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290</xdr:row>
      <xdr:rowOff>26894</xdr:rowOff>
    </xdr:from>
    <xdr:to>
      <xdr:col>6</xdr:col>
      <xdr:colOff>172085</xdr:colOff>
      <xdr:row>295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290</xdr:row>
      <xdr:rowOff>26894</xdr:rowOff>
    </xdr:from>
    <xdr:to>
      <xdr:col>16</xdr:col>
      <xdr:colOff>285749</xdr:colOff>
      <xdr:row>295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290</xdr:row>
      <xdr:rowOff>44822</xdr:rowOff>
    </xdr:from>
    <xdr:to>
      <xdr:col>26</xdr:col>
      <xdr:colOff>245246</xdr:colOff>
      <xdr:row>295</xdr:row>
      <xdr:rowOff>142242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312</xdr:row>
      <xdr:rowOff>35859</xdr:rowOff>
    </xdr:from>
    <xdr:to>
      <xdr:col>16</xdr:col>
      <xdr:colOff>246464</xdr:colOff>
      <xdr:row>317</xdr:row>
      <xdr:rowOff>164466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312</xdr:row>
      <xdr:rowOff>29006</xdr:rowOff>
    </xdr:from>
    <xdr:to>
      <xdr:col>6</xdr:col>
      <xdr:colOff>330461</xdr:colOff>
      <xdr:row>317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312</xdr:row>
      <xdr:rowOff>75300</xdr:rowOff>
    </xdr:from>
    <xdr:to>
      <xdr:col>11</xdr:col>
      <xdr:colOff>306705</xdr:colOff>
      <xdr:row>317</xdr:row>
      <xdr:rowOff>126378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301</xdr:row>
      <xdr:rowOff>35860</xdr:rowOff>
    </xdr:from>
    <xdr:to>
      <xdr:col>11</xdr:col>
      <xdr:colOff>75721</xdr:colOff>
      <xdr:row>306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301</xdr:row>
      <xdr:rowOff>35858</xdr:rowOff>
    </xdr:from>
    <xdr:to>
      <xdr:col>16</xdr:col>
      <xdr:colOff>332741</xdr:colOff>
      <xdr:row>306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301</xdr:row>
      <xdr:rowOff>11257</xdr:rowOff>
    </xdr:from>
    <xdr:to>
      <xdr:col>21</xdr:col>
      <xdr:colOff>344805</xdr:colOff>
      <xdr:row>306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301</xdr:row>
      <xdr:rowOff>26894</xdr:rowOff>
    </xdr:from>
    <xdr:to>
      <xdr:col>6</xdr:col>
      <xdr:colOff>288334</xdr:colOff>
      <xdr:row>306</xdr:row>
      <xdr:rowOff>142240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279</xdr:row>
      <xdr:rowOff>17930</xdr:rowOff>
    </xdr:from>
    <xdr:to>
      <xdr:col>16</xdr:col>
      <xdr:colOff>383802</xdr:colOff>
      <xdr:row>284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279</xdr:row>
      <xdr:rowOff>51435</xdr:rowOff>
    </xdr:from>
    <xdr:to>
      <xdr:col>21</xdr:col>
      <xdr:colOff>316185</xdr:colOff>
      <xdr:row>284</xdr:row>
      <xdr:rowOff>125597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279</xdr:row>
      <xdr:rowOff>26894</xdr:rowOff>
    </xdr:from>
    <xdr:to>
      <xdr:col>7</xdr:col>
      <xdr:colOff>1774</xdr:colOff>
      <xdr:row>284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323</xdr:row>
      <xdr:rowOff>38100</xdr:rowOff>
    </xdr:from>
    <xdr:to>
      <xdr:col>6</xdr:col>
      <xdr:colOff>173990</xdr:colOff>
      <xdr:row>328</xdr:row>
      <xdr:rowOff>106317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323</xdr:row>
      <xdr:rowOff>38100</xdr:rowOff>
    </xdr:from>
    <xdr:to>
      <xdr:col>16</xdr:col>
      <xdr:colOff>171449</xdr:colOff>
      <xdr:row>328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323</xdr:row>
      <xdr:rowOff>53788</xdr:rowOff>
    </xdr:from>
    <xdr:to>
      <xdr:col>11</xdr:col>
      <xdr:colOff>179785</xdr:colOff>
      <xdr:row>328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345</xdr:row>
      <xdr:rowOff>22860</xdr:rowOff>
    </xdr:from>
    <xdr:to>
      <xdr:col>16</xdr:col>
      <xdr:colOff>276859</xdr:colOff>
      <xdr:row>350</xdr:row>
      <xdr:rowOff>101823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345</xdr:row>
      <xdr:rowOff>22860</xdr:rowOff>
    </xdr:from>
    <xdr:to>
      <xdr:col>6</xdr:col>
      <xdr:colOff>59690</xdr:colOff>
      <xdr:row>350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345</xdr:row>
      <xdr:rowOff>15240</xdr:rowOff>
    </xdr:from>
    <xdr:to>
      <xdr:col>11</xdr:col>
      <xdr:colOff>36275</xdr:colOff>
      <xdr:row>350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379</xdr:row>
      <xdr:rowOff>7620</xdr:rowOff>
    </xdr:from>
    <xdr:to>
      <xdr:col>7</xdr:col>
      <xdr:colOff>0</xdr:colOff>
      <xdr:row>383</xdr:row>
      <xdr:rowOff>161286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379</xdr:row>
      <xdr:rowOff>6457</xdr:rowOff>
    </xdr:from>
    <xdr:to>
      <xdr:col>11</xdr:col>
      <xdr:colOff>558800</xdr:colOff>
      <xdr:row>382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505</xdr:row>
      <xdr:rowOff>59615</xdr:rowOff>
    </xdr:from>
    <xdr:to>
      <xdr:col>16</xdr:col>
      <xdr:colOff>400048</xdr:colOff>
      <xdr:row>510</xdr:row>
      <xdr:rowOff>142501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83</xdr:row>
      <xdr:rowOff>22860</xdr:rowOff>
    </xdr:from>
    <xdr:to>
      <xdr:col>6</xdr:col>
      <xdr:colOff>173990</xdr:colOff>
      <xdr:row>88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83</xdr:row>
      <xdr:rowOff>45720</xdr:rowOff>
    </xdr:from>
    <xdr:to>
      <xdr:col>11</xdr:col>
      <xdr:colOff>150575</xdr:colOff>
      <xdr:row>88</xdr:row>
      <xdr:rowOff>83097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83</xdr:row>
      <xdr:rowOff>42454</xdr:rowOff>
    </xdr:from>
    <xdr:to>
      <xdr:col>16</xdr:col>
      <xdr:colOff>317408</xdr:colOff>
      <xdr:row>88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83</xdr:row>
      <xdr:rowOff>30480</xdr:rowOff>
    </xdr:from>
    <xdr:to>
      <xdr:col>21</xdr:col>
      <xdr:colOff>182245</xdr:colOff>
      <xdr:row>88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83</xdr:row>
      <xdr:rowOff>7620</xdr:rowOff>
    </xdr:from>
    <xdr:to>
      <xdr:col>26</xdr:col>
      <xdr:colOff>246335</xdr:colOff>
      <xdr:row>88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93</xdr:row>
      <xdr:rowOff>22860</xdr:rowOff>
    </xdr:from>
    <xdr:to>
      <xdr:col>6</xdr:col>
      <xdr:colOff>133985</xdr:colOff>
      <xdr:row>98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93</xdr:row>
      <xdr:rowOff>22861</xdr:rowOff>
    </xdr:from>
    <xdr:to>
      <xdr:col>10</xdr:col>
      <xdr:colOff>360125</xdr:colOff>
      <xdr:row>98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93</xdr:row>
      <xdr:rowOff>7620</xdr:rowOff>
    </xdr:from>
    <xdr:to>
      <xdr:col>16</xdr:col>
      <xdr:colOff>95249</xdr:colOff>
      <xdr:row>98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93</xdr:row>
      <xdr:rowOff>15240</xdr:rowOff>
    </xdr:from>
    <xdr:to>
      <xdr:col>21</xdr:col>
      <xdr:colOff>171450</xdr:colOff>
      <xdr:row>98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93</xdr:row>
      <xdr:rowOff>20781</xdr:rowOff>
    </xdr:from>
    <xdr:to>
      <xdr:col>26</xdr:col>
      <xdr:colOff>93935</xdr:colOff>
      <xdr:row>99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103</xdr:row>
      <xdr:rowOff>22860</xdr:rowOff>
    </xdr:from>
    <xdr:to>
      <xdr:col>10</xdr:col>
      <xdr:colOff>398225</xdr:colOff>
      <xdr:row>108</xdr:row>
      <xdr:rowOff>122281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103</xdr:row>
      <xdr:rowOff>30479</xdr:rowOff>
    </xdr:from>
    <xdr:to>
      <xdr:col>21</xdr:col>
      <xdr:colOff>285750</xdr:colOff>
      <xdr:row>108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103</xdr:row>
      <xdr:rowOff>30480</xdr:rowOff>
    </xdr:from>
    <xdr:to>
      <xdr:col>26</xdr:col>
      <xdr:colOff>172599</xdr:colOff>
      <xdr:row>108</xdr:row>
      <xdr:rowOff>122281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113</xdr:row>
      <xdr:rowOff>40854</xdr:rowOff>
    </xdr:from>
    <xdr:to>
      <xdr:col>6</xdr:col>
      <xdr:colOff>258184</xdr:colOff>
      <xdr:row>118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113</xdr:row>
      <xdr:rowOff>30481</xdr:rowOff>
    </xdr:from>
    <xdr:to>
      <xdr:col>11</xdr:col>
      <xdr:colOff>55325</xdr:colOff>
      <xdr:row>118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113</xdr:row>
      <xdr:rowOff>30480</xdr:rowOff>
    </xdr:from>
    <xdr:to>
      <xdr:col>16</xdr:col>
      <xdr:colOff>220979</xdr:colOff>
      <xdr:row>118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123</xdr:row>
      <xdr:rowOff>34290</xdr:rowOff>
    </xdr:from>
    <xdr:to>
      <xdr:col>6</xdr:col>
      <xdr:colOff>331425</xdr:colOff>
      <xdr:row>128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123</xdr:row>
      <xdr:rowOff>26333</xdr:rowOff>
    </xdr:from>
    <xdr:to>
      <xdr:col>11</xdr:col>
      <xdr:colOff>151131</xdr:colOff>
      <xdr:row>128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123</xdr:row>
      <xdr:rowOff>46791</xdr:rowOff>
    </xdr:from>
    <xdr:to>
      <xdr:col>16</xdr:col>
      <xdr:colOff>247650</xdr:colOff>
      <xdr:row>128</xdr:row>
      <xdr:rowOff>163447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119" t="2400" r="15500" b="3019"/>
        <a:stretch>
          <a:fillRect/>
        </a:stretch>
      </xdr:blipFill>
      <xdr:spPr>
        <a:xfrm>
          <a:off x="4371975" y="26040516"/>
          <a:ext cx="133350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334</xdr:row>
      <xdr:rowOff>30480</xdr:rowOff>
    </xdr:from>
    <xdr:to>
      <xdr:col>16</xdr:col>
      <xdr:colOff>361949</xdr:colOff>
      <xdr:row>339</xdr:row>
      <xdr:rowOff>68216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334</xdr:row>
      <xdr:rowOff>55517</xdr:rowOff>
    </xdr:from>
    <xdr:to>
      <xdr:col>21</xdr:col>
      <xdr:colOff>401954</xdr:colOff>
      <xdr:row>339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334</xdr:row>
      <xdr:rowOff>69669</xdr:rowOff>
    </xdr:from>
    <xdr:to>
      <xdr:col>6</xdr:col>
      <xdr:colOff>220980</xdr:colOff>
      <xdr:row>339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334</xdr:row>
      <xdr:rowOff>30480</xdr:rowOff>
    </xdr:from>
    <xdr:to>
      <xdr:col>11</xdr:col>
      <xdr:colOff>1985</xdr:colOff>
      <xdr:row>339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135</xdr:row>
      <xdr:rowOff>44823</xdr:rowOff>
    </xdr:from>
    <xdr:to>
      <xdr:col>11</xdr:col>
      <xdr:colOff>173210</xdr:colOff>
      <xdr:row>140</xdr:row>
      <xdr:rowOff>69824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135</xdr:row>
      <xdr:rowOff>26894</xdr:rowOff>
    </xdr:from>
    <xdr:to>
      <xdr:col>16</xdr:col>
      <xdr:colOff>322057</xdr:colOff>
      <xdr:row>140</xdr:row>
      <xdr:rowOff>69824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135</xdr:row>
      <xdr:rowOff>26893</xdr:rowOff>
    </xdr:from>
    <xdr:to>
      <xdr:col>21</xdr:col>
      <xdr:colOff>383802</xdr:colOff>
      <xdr:row>140</xdr:row>
      <xdr:rowOff>106316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135</xdr:row>
      <xdr:rowOff>26894</xdr:rowOff>
    </xdr:from>
    <xdr:to>
      <xdr:col>26</xdr:col>
      <xdr:colOff>372214</xdr:colOff>
      <xdr:row>140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146</xdr:row>
      <xdr:rowOff>35858</xdr:rowOff>
    </xdr:from>
    <xdr:to>
      <xdr:col>6</xdr:col>
      <xdr:colOff>330462</xdr:colOff>
      <xdr:row>151</xdr:row>
      <xdr:rowOff>31402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146</xdr:row>
      <xdr:rowOff>17931</xdr:rowOff>
    </xdr:from>
    <xdr:to>
      <xdr:col>11</xdr:col>
      <xdr:colOff>104034</xdr:colOff>
      <xdr:row>151</xdr:row>
      <xdr:rowOff>31248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146</xdr:row>
      <xdr:rowOff>35859</xdr:rowOff>
    </xdr:from>
    <xdr:to>
      <xdr:col>16</xdr:col>
      <xdr:colOff>58831</xdr:colOff>
      <xdr:row>151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146</xdr:row>
      <xdr:rowOff>35859</xdr:rowOff>
    </xdr:from>
    <xdr:to>
      <xdr:col>21</xdr:col>
      <xdr:colOff>247297</xdr:colOff>
      <xdr:row>151</xdr:row>
      <xdr:rowOff>31402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146</xdr:row>
      <xdr:rowOff>17930</xdr:rowOff>
    </xdr:from>
    <xdr:to>
      <xdr:col>26</xdr:col>
      <xdr:colOff>67414</xdr:colOff>
      <xdr:row>151</xdr:row>
      <xdr:rowOff>29982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157</xdr:row>
      <xdr:rowOff>8965</xdr:rowOff>
    </xdr:from>
    <xdr:to>
      <xdr:col>6</xdr:col>
      <xdr:colOff>94204</xdr:colOff>
      <xdr:row>162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157</xdr:row>
      <xdr:rowOff>53788</xdr:rowOff>
    </xdr:from>
    <xdr:to>
      <xdr:col>11</xdr:col>
      <xdr:colOff>125848</xdr:colOff>
      <xdr:row>162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157</xdr:row>
      <xdr:rowOff>18972</xdr:rowOff>
    </xdr:from>
    <xdr:to>
      <xdr:col>16</xdr:col>
      <xdr:colOff>145376</xdr:colOff>
      <xdr:row>162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157</xdr:row>
      <xdr:rowOff>35859</xdr:rowOff>
    </xdr:from>
    <xdr:to>
      <xdr:col>21</xdr:col>
      <xdr:colOff>383802</xdr:colOff>
      <xdr:row>162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157</xdr:row>
      <xdr:rowOff>53788</xdr:rowOff>
    </xdr:from>
    <xdr:to>
      <xdr:col>26</xdr:col>
      <xdr:colOff>98193</xdr:colOff>
      <xdr:row>162</xdr:row>
      <xdr:rowOff>47452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168</xdr:row>
      <xdr:rowOff>22382</xdr:rowOff>
    </xdr:from>
    <xdr:to>
      <xdr:col>6</xdr:col>
      <xdr:colOff>210744</xdr:colOff>
      <xdr:row>173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290</xdr:row>
      <xdr:rowOff>26066</xdr:rowOff>
    </xdr:from>
    <xdr:to>
      <xdr:col>21</xdr:col>
      <xdr:colOff>409276</xdr:colOff>
      <xdr:row>295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356</xdr:row>
      <xdr:rowOff>17928</xdr:rowOff>
    </xdr:from>
    <xdr:to>
      <xdr:col>21</xdr:col>
      <xdr:colOff>295638</xdr:colOff>
      <xdr:row>361</xdr:row>
      <xdr:rowOff>105035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391</xdr:row>
      <xdr:rowOff>62754</xdr:rowOff>
    </xdr:from>
    <xdr:to>
      <xdr:col>16</xdr:col>
      <xdr:colOff>76199</xdr:colOff>
      <xdr:row>396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</xdr:row>
      <xdr:rowOff>17930</xdr:rowOff>
    </xdr:from>
    <xdr:to>
      <xdr:col>11</xdr:col>
      <xdr:colOff>20811</xdr:colOff>
      <xdr:row>53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49</xdr:row>
      <xdr:rowOff>23422</xdr:rowOff>
    </xdr:from>
    <xdr:to>
      <xdr:col>26</xdr:col>
      <xdr:colOff>397838</xdr:colOff>
      <xdr:row>53</xdr:row>
      <xdr:rowOff>107601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39</xdr:row>
      <xdr:rowOff>35858</xdr:rowOff>
    </xdr:from>
    <xdr:to>
      <xdr:col>6</xdr:col>
      <xdr:colOff>307334</xdr:colOff>
      <xdr:row>43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49</xdr:row>
      <xdr:rowOff>44823</xdr:rowOff>
    </xdr:from>
    <xdr:to>
      <xdr:col>16</xdr:col>
      <xdr:colOff>264459</xdr:colOff>
      <xdr:row>53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39</xdr:row>
      <xdr:rowOff>25589</xdr:rowOff>
    </xdr:from>
    <xdr:to>
      <xdr:col>26</xdr:col>
      <xdr:colOff>240918</xdr:colOff>
      <xdr:row>43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49</xdr:row>
      <xdr:rowOff>15584</xdr:rowOff>
    </xdr:from>
    <xdr:to>
      <xdr:col>6</xdr:col>
      <xdr:colOff>189006</xdr:colOff>
      <xdr:row>53</xdr:row>
      <xdr:rowOff>124253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525</xdr:row>
      <xdr:rowOff>91015</xdr:rowOff>
    </xdr:from>
    <xdr:to>
      <xdr:col>11</xdr:col>
      <xdr:colOff>200286</xdr:colOff>
      <xdr:row>530</xdr:row>
      <xdr:rowOff>102116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515</xdr:row>
      <xdr:rowOff>8965</xdr:rowOff>
    </xdr:from>
    <xdr:to>
      <xdr:col>16</xdr:col>
      <xdr:colOff>228599</xdr:colOff>
      <xdr:row>520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515</xdr:row>
      <xdr:rowOff>47343</xdr:rowOff>
    </xdr:from>
    <xdr:to>
      <xdr:col>26</xdr:col>
      <xdr:colOff>231318</xdr:colOff>
      <xdr:row>520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515</xdr:row>
      <xdr:rowOff>18236</xdr:rowOff>
    </xdr:from>
    <xdr:to>
      <xdr:col>21</xdr:col>
      <xdr:colOff>200326</xdr:colOff>
      <xdr:row>520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525</xdr:row>
      <xdr:rowOff>8964</xdr:rowOff>
    </xdr:from>
    <xdr:to>
      <xdr:col>6</xdr:col>
      <xdr:colOff>324037</xdr:colOff>
      <xdr:row>530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515</xdr:row>
      <xdr:rowOff>17928</xdr:rowOff>
    </xdr:from>
    <xdr:to>
      <xdr:col>11</xdr:col>
      <xdr:colOff>181354</xdr:colOff>
      <xdr:row>520</xdr:row>
      <xdr:rowOff>12223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525</xdr:row>
      <xdr:rowOff>83918</xdr:rowOff>
    </xdr:from>
    <xdr:to>
      <xdr:col>16</xdr:col>
      <xdr:colOff>98088</xdr:colOff>
      <xdr:row>530</xdr:row>
      <xdr:rowOff>162514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449</xdr:row>
      <xdr:rowOff>32123</xdr:rowOff>
    </xdr:from>
    <xdr:to>
      <xdr:col>6</xdr:col>
      <xdr:colOff>343914</xdr:colOff>
      <xdr:row>454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1</xdr:col>
      <xdr:colOff>106973</xdr:colOff>
      <xdr:row>535</xdr:row>
      <xdr:rowOff>295276</xdr:rowOff>
    </xdr:from>
    <xdr:to>
      <xdr:col>27</xdr:col>
      <xdr:colOff>171449</xdr:colOff>
      <xdr:row>541</xdr:row>
      <xdr:rowOff>31748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45073" y="108365926"/>
          <a:ext cx="9513276" cy="119062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505</xdr:row>
      <xdr:rowOff>17930</xdr:rowOff>
    </xdr:from>
    <xdr:to>
      <xdr:col>11</xdr:col>
      <xdr:colOff>150831</xdr:colOff>
      <xdr:row>510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39</xdr:row>
      <xdr:rowOff>26894</xdr:rowOff>
    </xdr:from>
    <xdr:to>
      <xdr:col>10</xdr:col>
      <xdr:colOff>425636</xdr:colOff>
      <xdr:row>44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39</xdr:row>
      <xdr:rowOff>17929</xdr:rowOff>
    </xdr:from>
    <xdr:to>
      <xdr:col>16</xdr:col>
      <xdr:colOff>69177</xdr:colOff>
      <xdr:row>43</xdr:row>
      <xdr:rowOff>161032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39</xdr:row>
      <xdr:rowOff>24706</xdr:rowOff>
    </xdr:from>
    <xdr:to>
      <xdr:col>21</xdr:col>
      <xdr:colOff>219895</xdr:colOff>
      <xdr:row>43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449</xdr:row>
      <xdr:rowOff>62752</xdr:rowOff>
    </xdr:from>
    <xdr:to>
      <xdr:col>10</xdr:col>
      <xdr:colOff>276262</xdr:colOff>
      <xdr:row>454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471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471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460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460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356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345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103</xdr:row>
      <xdr:rowOff>13532</xdr:rowOff>
    </xdr:from>
    <xdr:to>
      <xdr:col>6</xdr:col>
      <xdr:colOff>54876</xdr:colOff>
      <xdr:row>108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19372</xdr:colOff>
      <xdr:row>379</xdr:row>
      <xdr:rowOff>22492</xdr:rowOff>
    </xdr:from>
    <xdr:to>
      <xdr:col>16</xdr:col>
      <xdr:colOff>419502</xdr:colOff>
      <xdr:row>384</xdr:row>
      <xdr:rowOff>85889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267522" y="75670042"/>
          <a:ext cx="1609805" cy="965097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379</xdr:row>
      <xdr:rowOff>30738</xdr:rowOff>
    </xdr:from>
    <xdr:to>
      <xdr:col>21</xdr:col>
      <xdr:colOff>425450</xdr:colOff>
      <xdr:row>384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460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460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449</xdr:row>
      <xdr:rowOff>19210</xdr:rowOff>
    </xdr:from>
    <xdr:to>
      <xdr:col>21</xdr:col>
      <xdr:colOff>244818</xdr:colOff>
      <xdr:row>454</xdr:row>
      <xdr:rowOff>126752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244</xdr:row>
      <xdr:rowOff>33889</xdr:rowOff>
    </xdr:from>
    <xdr:to>
      <xdr:col>26</xdr:col>
      <xdr:colOff>359965</xdr:colOff>
      <xdr:row>250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244</xdr:row>
      <xdr:rowOff>38418</xdr:rowOff>
    </xdr:from>
    <xdr:to>
      <xdr:col>11</xdr:col>
      <xdr:colOff>292288</xdr:colOff>
      <xdr:row>249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244</xdr:row>
      <xdr:rowOff>32016</xdr:rowOff>
    </xdr:from>
    <xdr:to>
      <xdr:col>21</xdr:col>
      <xdr:colOff>57790</xdr:colOff>
      <xdr:row>249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255</xdr:row>
      <xdr:rowOff>25407</xdr:rowOff>
    </xdr:from>
    <xdr:to>
      <xdr:col>5</xdr:col>
      <xdr:colOff>285398</xdr:colOff>
      <xdr:row>261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255</xdr:row>
      <xdr:rowOff>25613</xdr:rowOff>
    </xdr:from>
    <xdr:to>
      <xdr:col>21</xdr:col>
      <xdr:colOff>325449</xdr:colOff>
      <xdr:row>261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191</xdr:row>
      <xdr:rowOff>61071</xdr:rowOff>
    </xdr:from>
    <xdr:to>
      <xdr:col>11</xdr:col>
      <xdr:colOff>162202</xdr:colOff>
      <xdr:row>196</xdr:row>
      <xdr:rowOff>142709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191</xdr:row>
      <xdr:rowOff>46467</xdr:rowOff>
    </xdr:from>
    <xdr:to>
      <xdr:col>21</xdr:col>
      <xdr:colOff>57262</xdr:colOff>
      <xdr:row>196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334</xdr:row>
      <xdr:rowOff>96051</xdr:rowOff>
    </xdr:from>
    <xdr:to>
      <xdr:col>26</xdr:col>
      <xdr:colOff>482738</xdr:colOff>
      <xdr:row>339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181</xdr:row>
      <xdr:rowOff>78442</xdr:rowOff>
    </xdr:from>
    <xdr:to>
      <xdr:col>6</xdr:col>
      <xdr:colOff>287916</xdr:colOff>
      <xdr:row>186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181</xdr:row>
      <xdr:rowOff>33618</xdr:rowOff>
    </xdr:from>
    <xdr:to>
      <xdr:col>11</xdr:col>
      <xdr:colOff>307714</xdr:colOff>
      <xdr:row>186</xdr:row>
      <xdr:rowOff>88713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181</xdr:row>
      <xdr:rowOff>118222</xdr:rowOff>
    </xdr:from>
    <xdr:to>
      <xdr:col>16</xdr:col>
      <xdr:colOff>418353</xdr:colOff>
      <xdr:row>186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181</xdr:row>
      <xdr:rowOff>22412</xdr:rowOff>
    </xdr:from>
    <xdr:to>
      <xdr:col>21</xdr:col>
      <xdr:colOff>266514</xdr:colOff>
      <xdr:row>186</xdr:row>
      <xdr:rowOff>104999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181</xdr:row>
      <xdr:rowOff>23905</xdr:rowOff>
    </xdr:from>
    <xdr:to>
      <xdr:col>26</xdr:col>
      <xdr:colOff>212464</xdr:colOff>
      <xdr:row>186</xdr:row>
      <xdr:rowOff>123264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191</xdr:row>
      <xdr:rowOff>56030</xdr:rowOff>
    </xdr:from>
    <xdr:to>
      <xdr:col>6</xdr:col>
      <xdr:colOff>250714</xdr:colOff>
      <xdr:row>196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191</xdr:row>
      <xdr:rowOff>33618</xdr:rowOff>
    </xdr:from>
    <xdr:to>
      <xdr:col>16</xdr:col>
      <xdr:colOff>149412</xdr:colOff>
      <xdr:row>197</xdr:row>
      <xdr:rowOff>6910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191</xdr:row>
      <xdr:rowOff>78441</xdr:rowOff>
    </xdr:from>
    <xdr:to>
      <xdr:col>26</xdr:col>
      <xdr:colOff>402888</xdr:colOff>
      <xdr:row>196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201</xdr:row>
      <xdr:rowOff>23904</xdr:rowOff>
    </xdr:from>
    <xdr:to>
      <xdr:col>5</xdr:col>
      <xdr:colOff>250564</xdr:colOff>
      <xdr:row>206</xdr:row>
      <xdr:rowOff>164502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201</xdr:row>
      <xdr:rowOff>67235</xdr:rowOff>
    </xdr:from>
    <xdr:to>
      <xdr:col>11</xdr:col>
      <xdr:colOff>121034</xdr:colOff>
      <xdr:row>206</xdr:row>
      <xdr:rowOff>124099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201</xdr:row>
      <xdr:rowOff>30628</xdr:rowOff>
    </xdr:from>
    <xdr:to>
      <xdr:col>16</xdr:col>
      <xdr:colOff>250339</xdr:colOff>
      <xdr:row>206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201</xdr:row>
      <xdr:rowOff>56029</xdr:rowOff>
    </xdr:from>
    <xdr:to>
      <xdr:col>21</xdr:col>
      <xdr:colOff>245782</xdr:colOff>
      <xdr:row>206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201</xdr:row>
      <xdr:rowOff>22412</xdr:rowOff>
    </xdr:from>
    <xdr:to>
      <xdr:col>26</xdr:col>
      <xdr:colOff>200137</xdr:colOff>
      <xdr:row>206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211</xdr:row>
      <xdr:rowOff>33618</xdr:rowOff>
    </xdr:from>
    <xdr:to>
      <xdr:col>6</xdr:col>
      <xdr:colOff>321534</xdr:colOff>
      <xdr:row>216</xdr:row>
      <xdr:rowOff>143137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211</xdr:row>
      <xdr:rowOff>56030</xdr:rowOff>
    </xdr:from>
    <xdr:to>
      <xdr:col>11</xdr:col>
      <xdr:colOff>169582</xdr:colOff>
      <xdr:row>216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211</xdr:row>
      <xdr:rowOff>66676</xdr:rowOff>
    </xdr:from>
    <xdr:to>
      <xdr:col>16</xdr:col>
      <xdr:colOff>250569</xdr:colOff>
      <xdr:row>216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233</xdr:row>
      <xdr:rowOff>47625</xdr:rowOff>
    </xdr:from>
    <xdr:to>
      <xdr:col>6</xdr:col>
      <xdr:colOff>247015</xdr:colOff>
      <xdr:row>238</xdr:row>
      <xdr:rowOff>143510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233</xdr:row>
      <xdr:rowOff>19050</xdr:rowOff>
    </xdr:from>
    <xdr:to>
      <xdr:col>10</xdr:col>
      <xdr:colOff>393065</xdr:colOff>
      <xdr:row>238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233</xdr:row>
      <xdr:rowOff>85725</xdr:rowOff>
    </xdr:from>
    <xdr:to>
      <xdr:col>16</xdr:col>
      <xdr:colOff>402590</xdr:colOff>
      <xdr:row>238</xdr:row>
      <xdr:rowOff>46990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233</xdr:row>
      <xdr:rowOff>38100</xdr:rowOff>
    </xdr:from>
    <xdr:to>
      <xdr:col>21</xdr:col>
      <xdr:colOff>397023</xdr:colOff>
      <xdr:row>238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233</xdr:row>
      <xdr:rowOff>9525</xdr:rowOff>
    </xdr:from>
    <xdr:to>
      <xdr:col>26</xdr:col>
      <xdr:colOff>448756</xdr:colOff>
      <xdr:row>239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244</xdr:row>
      <xdr:rowOff>19049</xdr:rowOff>
    </xdr:from>
    <xdr:to>
      <xdr:col>6</xdr:col>
      <xdr:colOff>292734</xdr:colOff>
      <xdr:row>249</xdr:row>
      <xdr:rowOff>139953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244</xdr:row>
      <xdr:rowOff>28575</xdr:rowOff>
    </xdr:from>
    <xdr:to>
      <xdr:col>16</xdr:col>
      <xdr:colOff>168839</xdr:colOff>
      <xdr:row>250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255</xdr:row>
      <xdr:rowOff>28575</xdr:rowOff>
    </xdr:from>
    <xdr:to>
      <xdr:col>11</xdr:col>
      <xdr:colOff>38100</xdr:colOff>
      <xdr:row>260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255</xdr:row>
      <xdr:rowOff>28575</xdr:rowOff>
    </xdr:from>
    <xdr:to>
      <xdr:col>16</xdr:col>
      <xdr:colOff>228600</xdr:colOff>
      <xdr:row>261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255</xdr:row>
      <xdr:rowOff>28575</xdr:rowOff>
    </xdr:from>
    <xdr:to>
      <xdr:col>26</xdr:col>
      <xdr:colOff>247650</xdr:colOff>
      <xdr:row>260</xdr:row>
      <xdr:rowOff>161989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266</xdr:row>
      <xdr:rowOff>28575</xdr:rowOff>
    </xdr:from>
    <xdr:to>
      <xdr:col>6</xdr:col>
      <xdr:colOff>240665</xdr:colOff>
      <xdr:row>272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402</xdr:row>
      <xdr:rowOff>66675</xdr:rowOff>
    </xdr:from>
    <xdr:to>
      <xdr:col>21</xdr:col>
      <xdr:colOff>68057</xdr:colOff>
      <xdr:row>407</xdr:row>
      <xdr:rowOff>159607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402</xdr:row>
      <xdr:rowOff>66675</xdr:rowOff>
    </xdr:from>
    <xdr:to>
      <xdr:col>6</xdr:col>
      <xdr:colOff>269240</xdr:colOff>
      <xdr:row>407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402</xdr:row>
      <xdr:rowOff>95250</xdr:rowOff>
    </xdr:from>
    <xdr:to>
      <xdr:col>10</xdr:col>
      <xdr:colOff>425994</xdr:colOff>
      <xdr:row>407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402</xdr:row>
      <xdr:rowOff>148590</xdr:rowOff>
    </xdr:from>
    <xdr:to>
      <xdr:col>16</xdr:col>
      <xdr:colOff>187363</xdr:colOff>
      <xdr:row>406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414</xdr:row>
      <xdr:rowOff>9525</xdr:rowOff>
    </xdr:from>
    <xdr:to>
      <xdr:col>6</xdr:col>
      <xdr:colOff>169374</xdr:colOff>
      <xdr:row>419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414</xdr:row>
      <xdr:rowOff>38101</xdr:rowOff>
    </xdr:from>
    <xdr:to>
      <xdr:col>16</xdr:col>
      <xdr:colOff>164689</xdr:colOff>
      <xdr:row>419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356</xdr:row>
      <xdr:rowOff>44823</xdr:rowOff>
    </xdr:from>
    <xdr:to>
      <xdr:col>6</xdr:col>
      <xdr:colOff>216012</xdr:colOff>
      <xdr:row>361</xdr:row>
      <xdr:rowOff>159422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356</xdr:row>
      <xdr:rowOff>44823</xdr:rowOff>
    </xdr:from>
    <xdr:to>
      <xdr:col>11</xdr:col>
      <xdr:colOff>141867</xdr:colOff>
      <xdr:row>361</xdr:row>
      <xdr:rowOff>159422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356</xdr:row>
      <xdr:rowOff>56029</xdr:rowOff>
    </xdr:from>
    <xdr:to>
      <xdr:col>16</xdr:col>
      <xdr:colOff>258931</xdr:colOff>
      <xdr:row>362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391</xdr:row>
      <xdr:rowOff>173941</xdr:rowOff>
    </xdr:from>
    <xdr:to>
      <xdr:col>21</xdr:col>
      <xdr:colOff>170890</xdr:colOff>
      <xdr:row>396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168</xdr:row>
      <xdr:rowOff>8965</xdr:rowOff>
    </xdr:from>
    <xdr:to>
      <xdr:col>21</xdr:col>
      <xdr:colOff>282862</xdr:colOff>
      <xdr:row>173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221</xdr:row>
      <xdr:rowOff>56030</xdr:rowOff>
    </xdr:from>
    <xdr:to>
      <xdr:col>6</xdr:col>
      <xdr:colOff>164741</xdr:colOff>
      <xdr:row>226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266</xdr:row>
      <xdr:rowOff>22224</xdr:rowOff>
    </xdr:from>
    <xdr:to>
      <xdr:col>21</xdr:col>
      <xdr:colOff>97155</xdr:colOff>
      <xdr:row>271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304801</xdr:rowOff>
    </xdr:from>
    <xdr:to>
      <xdr:col>9</xdr:col>
      <xdr:colOff>86220</xdr:colOff>
      <xdr:row>559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436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26</xdr:col>
      <xdr:colOff>142875</xdr:colOff>
      <xdr:row>524</xdr:row>
      <xdr:rowOff>171450</xdr:rowOff>
    </xdr:from>
    <xdr:to>
      <xdr:col>27</xdr:col>
      <xdr:colOff>27892</xdr:colOff>
      <xdr:row>527</xdr:row>
      <xdr:rowOff>25539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1059275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449</xdr:row>
      <xdr:rowOff>9525</xdr:rowOff>
    </xdr:from>
    <xdr:to>
      <xdr:col>17</xdr:col>
      <xdr:colOff>8842</xdr:colOff>
      <xdr:row>451</xdr:row>
      <xdr:rowOff>66814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901731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133350</xdr:colOff>
      <xdr:row>504</xdr:row>
      <xdr:rowOff>161925</xdr:rowOff>
    </xdr:from>
    <xdr:to>
      <xdr:col>27</xdr:col>
      <xdr:colOff>12017</xdr:colOff>
      <xdr:row>507</xdr:row>
      <xdr:rowOff>6489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9270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266</xdr:row>
      <xdr:rowOff>25433</xdr:rowOff>
    </xdr:from>
    <xdr:to>
      <xdr:col>11</xdr:col>
      <xdr:colOff>241299</xdr:colOff>
      <xdr:row>271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266</xdr:row>
      <xdr:rowOff>31322</xdr:rowOff>
    </xdr:from>
    <xdr:to>
      <xdr:col>16</xdr:col>
      <xdr:colOff>196850</xdr:colOff>
      <xdr:row>271</xdr:row>
      <xdr:rowOff>139701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211</xdr:row>
      <xdr:rowOff>22257</xdr:rowOff>
    </xdr:from>
    <xdr:to>
      <xdr:col>21</xdr:col>
      <xdr:colOff>171449</xdr:colOff>
      <xdr:row>216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211</xdr:row>
      <xdr:rowOff>62593</xdr:rowOff>
    </xdr:from>
    <xdr:to>
      <xdr:col>26</xdr:col>
      <xdr:colOff>158750</xdr:colOff>
      <xdr:row>216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113</xdr:row>
      <xdr:rowOff>16312</xdr:rowOff>
    </xdr:from>
    <xdr:to>
      <xdr:col>21</xdr:col>
      <xdr:colOff>6350</xdr:colOff>
      <xdr:row>118</xdr:row>
      <xdr:rowOff>142286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113</xdr:row>
      <xdr:rowOff>18658</xdr:rowOff>
    </xdr:from>
    <xdr:to>
      <xdr:col>26</xdr:col>
      <xdr:colOff>181382</xdr:colOff>
      <xdr:row>118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59</xdr:row>
      <xdr:rowOff>14836</xdr:rowOff>
    </xdr:from>
    <xdr:to>
      <xdr:col>6</xdr:col>
      <xdr:colOff>95250</xdr:colOff>
      <xdr:row>63</xdr:row>
      <xdr:rowOff>139700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391</xdr:row>
      <xdr:rowOff>114300</xdr:rowOff>
    </xdr:from>
    <xdr:to>
      <xdr:col>26</xdr:col>
      <xdr:colOff>171021</xdr:colOff>
      <xdr:row>396</xdr:row>
      <xdr:rowOff>101600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436</xdr:row>
      <xdr:rowOff>159960</xdr:rowOff>
    </xdr:from>
    <xdr:to>
      <xdr:col>11</xdr:col>
      <xdr:colOff>50799</xdr:colOff>
      <xdr:row>441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471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482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561976</xdr:colOff>
      <xdr:row>482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515</xdr:row>
      <xdr:rowOff>9525</xdr:rowOff>
    </xdr:from>
    <xdr:to>
      <xdr:col>6</xdr:col>
      <xdr:colOff>177800</xdr:colOff>
      <xdr:row>520</xdr:row>
      <xdr:rowOff>126125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49</xdr:row>
      <xdr:rowOff>15812</xdr:rowOff>
    </xdr:from>
    <xdr:to>
      <xdr:col>22</xdr:col>
      <xdr:colOff>1</xdr:colOff>
      <xdr:row>53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</xdr:col>
      <xdr:colOff>82066</xdr:colOff>
      <xdr:row>68</xdr:row>
      <xdr:rowOff>315840</xdr:rowOff>
    </xdr:from>
    <xdr:to>
      <xdr:col>3</xdr:col>
      <xdr:colOff>403103</xdr:colOff>
      <xdr:row>70</xdr:row>
      <xdr:rowOff>17314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391848" y="15303208"/>
          <a:ext cx="387274" cy="435337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505</xdr:row>
      <xdr:rowOff>19050</xdr:rowOff>
    </xdr:from>
    <xdr:to>
      <xdr:col>21</xdr:col>
      <xdr:colOff>139700</xdr:colOff>
      <xdr:row>510</xdr:row>
      <xdr:rowOff>180896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436</xdr:row>
      <xdr:rowOff>27166</xdr:rowOff>
    </xdr:from>
    <xdr:to>
      <xdr:col>20</xdr:col>
      <xdr:colOff>178088</xdr:colOff>
      <xdr:row>441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367</xdr:row>
      <xdr:rowOff>28575</xdr:rowOff>
    </xdr:from>
    <xdr:to>
      <xdr:col>11</xdr:col>
      <xdr:colOff>114300</xdr:colOff>
      <xdr:row>372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367</xdr:row>
      <xdr:rowOff>76200</xdr:rowOff>
    </xdr:from>
    <xdr:to>
      <xdr:col>6</xdr:col>
      <xdr:colOff>307771</xdr:colOff>
      <xdr:row>372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425</xdr:row>
      <xdr:rowOff>85725</xdr:rowOff>
    </xdr:from>
    <xdr:to>
      <xdr:col>21</xdr:col>
      <xdr:colOff>277622</xdr:colOff>
      <xdr:row>430</xdr:row>
      <xdr:rowOff>122735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425</xdr:row>
      <xdr:rowOff>76200</xdr:rowOff>
    </xdr:from>
    <xdr:to>
      <xdr:col>26</xdr:col>
      <xdr:colOff>312546</xdr:colOff>
      <xdr:row>430</xdr:row>
      <xdr:rowOff>124281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471</xdr:row>
      <xdr:rowOff>66675</xdr:rowOff>
    </xdr:from>
    <xdr:to>
      <xdr:col>21</xdr:col>
      <xdr:colOff>349884</xdr:colOff>
      <xdr:row>476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471</xdr:row>
      <xdr:rowOff>57150</xdr:rowOff>
    </xdr:from>
    <xdr:to>
      <xdr:col>26</xdr:col>
      <xdr:colOff>330200</xdr:colOff>
      <xdr:row>476</xdr:row>
      <xdr:rowOff>120650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482</xdr:row>
      <xdr:rowOff>28575</xdr:rowOff>
    </xdr:from>
    <xdr:to>
      <xdr:col>21</xdr:col>
      <xdr:colOff>273050</xdr:colOff>
      <xdr:row>488</xdr:row>
      <xdr:rowOff>259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482</xdr:row>
      <xdr:rowOff>47625</xdr:rowOff>
    </xdr:from>
    <xdr:to>
      <xdr:col>26</xdr:col>
      <xdr:colOff>274564</xdr:colOff>
      <xdr:row>488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505</xdr:row>
      <xdr:rowOff>30480</xdr:rowOff>
    </xdr:from>
    <xdr:ext cx="902424" cy="924194"/>
    <xdr:pic>
      <xdr:nvPicPr>
        <xdr:cNvPr id="314" name="Picture 131" descr="bulk-cart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537710" y="99985830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23</xdr:col>
      <xdr:colOff>238125</xdr:colOff>
      <xdr:row>526</xdr:row>
      <xdr:rowOff>19050</xdr:rowOff>
    </xdr:from>
    <xdr:to>
      <xdr:col>26</xdr:col>
      <xdr:colOff>285750</xdr:colOff>
      <xdr:row>530</xdr:row>
      <xdr:rowOff>85725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106127550"/>
          <a:ext cx="1257300" cy="787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578628</xdr:colOff>
      <xdr:row>449</xdr:row>
      <xdr:rowOff>38100</xdr:rowOff>
    </xdr:from>
    <xdr:to>
      <xdr:col>15</xdr:col>
      <xdr:colOff>168275</xdr:colOff>
      <xdr:row>454</xdr:row>
      <xdr:rowOff>139700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78" y="90201750"/>
          <a:ext cx="494522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571499</xdr:colOff>
      <xdr:row>414</xdr:row>
      <xdr:rowOff>27781</xdr:rowOff>
    </xdr:from>
    <xdr:to>
      <xdr:col>10</xdr:col>
      <xdr:colOff>381000</xdr:colOff>
      <xdr:row>419</xdr:row>
      <xdr:rowOff>123032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4" y="83028631"/>
          <a:ext cx="762001" cy="901701"/>
        </a:xfrm>
        <a:prstGeom prst="rect">
          <a:avLst/>
        </a:prstGeom>
      </xdr:spPr>
    </xdr:pic>
    <xdr:clientData/>
  </xdr:twoCellAnchor>
  <xdr:twoCellAnchor editAs="oneCell">
    <xdr:from>
      <xdr:col>8</xdr:col>
      <xdr:colOff>470837</xdr:colOff>
      <xdr:row>279</xdr:row>
      <xdr:rowOff>9525</xdr:rowOff>
    </xdr:from>
    <xdr:to>
      <xdr:col>11</xdr:col>
      <xdr:colOff>563496</xdr:colOff>
      <xdr:row>284</xdr:row>
      <xdr:rowOff>158750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00000000-0008-0000-0000-00006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012" y="56026050"/>
          <a:ext cx="1486484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304470</xdr:colOff>
      <xdr:row>557</xdr:row>
      <xdr:rowOff>19051</xdr:rowOff>
    </xdr:from>
    <xdr:to>
      <xdr:col>16</xdr:col>
      <xdr:colOff>431427</xdr:colOff>
      <xdr:row>559</xdr:row>
      <xdr:rowOff>18947</xdr:rowOff>
    </xdr:to>
    <xdr:pic>
      <xdr:nvPicPr>
        <xdr:cNvPr id="136546" name="Image 136545">
          <a:extLst>
            <a:ext uri="{FF2B5EF4-FFF2-40B4-BE49-F238E27FC236}">
              <a16:creationId xmlns:a16="http://schemas.microsoft.com/office/drawing/2014/main" id="{00000000-0008-0000-0000-00006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3419145" y="115033426"/>
          <a:ext cx="2466932" cy="68569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71</xdr:row>
      <xdr:rowOff>38100</xdr:rowOff>
    </xdr:from>
    <xdr:to>
      <xdr:col>6</xdr:col>
      <xdr:colOff>254000</xdr:colOff>
      <xdr:row>75</xdr:row>
      <xdr:rowOff>169151</xdr:rowOff>
    </xdr:to>
    <xdr:pic>
      <xdr:nvPicPr>
        <xdr:cNvPr id="136550" name="Image 136549">
          <a:extLst>
            <a:ext uri="{FF2B5EF4-FFF2-40B4-BE49-F238E27FC236}">
              <a16:creationId xmlns:a16="http://schemas.microsoft.com/office/drawing/2014/main" id="{00000000-0008-0000-0000-00006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60782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71</xdr:row>
      <xdr:rowOff>19050</xdr:rowOff>
    </xdr:from>
    <xdr:to>
      <xdr:col>11</xdr:col>
      <xdr:colOff>190500</xdr:colOff>
      <xdr:row>75</xdr:row>
      <xdr:rowOff>159573</xdr:rowOff>
    </xdr:to>
    <xdr:pic>
      <xdr:nvPicPr>
        <xdr:cNvPr id="136552" name="Image 136551">
          <a:extLst>
            <a:ext uri="{FF2B5EF4-FFF2-40B4-BE49-F238E27FC236}">
              <a16:creationId xmlns:a16="http://schemas.microsoft.com/office/drawing/2014/main" id="{00000000-0008-0000-0000-000068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6059150"/>
          <a:ext cx="124777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71</xdr:row>
      <xdr:rowOff>31389</xdr:rowOff>
    </xdr:from>
    <xdr:to>
      <xdr:col>16</xdr:col>
      <xdr:colOff>266701</xdr:colOff>
      <xdr:row>75</xdr:row>
      <xdr:rowOff>191093</xdr:rowOff>
    </xdr:to>
    <xdr:pic>
      <xdr:nvPicPr>
        <xdr:cNvPr id="136554" name="Image 136553">
          <a:extLst>
            <a:ext uri="{FF2B5EF4-FFF2-40B4-BE49-F238E27FC236}">
              <a16:creationId xmlns:a16="http://schemas.microsoft.com/office/drawing/2014/main" id="{00000000-0008-0000-0000-00006A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16071489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71</xdr:row>
      <xdr:rowOff>28575</xdr:rowOff>
    </xdr:from>
    <xdr:to>
      <xdr:col>21</xdr:col>
      <xdr:colOff>285750</xdr:colOff>
      <xdr:row>75</xdr:row>
      <xdr:rowOff>182434</xdr:rowOff>
    </xdr:to>
    <xdr:pic>
      <xdr:nvPicPr>
        <xdr:cNvPr id="136556" name="Image 136555">
          <a:extLst>
            <a:ext uri="{FF2B5EF4-FFF2-40B4-BE49-F238E27FC236}">
              <a16:creationId xmlns:a16="http://schemas.microsoft.com/office/drawing/2014/main" id="{00000000-0008-0000-0000-00006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6068675"/>
          <a:ext cx="1362075" cy="957134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367</xdr:row>
      <xdr:rowOff>47624</xdr:rowOff>
    </xdr:from>
    <xdr:to>
      <xdr:col>20</xdr:col>
      <xdr:colOff>16129</xdr:colOff>
      <xdr:row>372</xdr:row>
      <xdr:rowOff>133349</xdr:rowOff>
    </xdr:to>
    <xdr:pic>
      <xdr:nvPicPr>
        <xdr:cNvPr id="136562" name="Image 136561">
          <a:extLst>
            <a:ext uri="{FF2B5EF4-FFF2-40B4-BE49-F238E27FC236}">
              <a16:creationId xmlns:a16="http://schemas.microsoft.com/office/drawing/2014/main" id="{00000000-0008-0000-0000-00007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301864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367</xdr:row>
      <xdr:rowOff>152399</xdr:rowOff>
    </xdr:from>
    <xdr:to>
      <xdr:col>16</xdr:col>
      <xdr:colOff>107482</xdr:colOff>
      <xdr:row>372</xdr:row>
      <xdr:rowOff>12699</xdr:rowOff>
    </xdr:to>
    <xdr:pic>
      <xdr:nvPicPr>
        <xdr:cNvPr id="136565" name="Image 136564">
          <a:extLst>
            <a:ext uri="{FF2B5EF4-FFF2-40B4-BE49-F238E27FC236}">
              <a16:creationId xmlns:a16="http://schemas.microsoft.com/office/drawing/2014/main" id="{00000000-0008-0000-0000-00007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3123424"/>
          <a:ext cx="10155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482</xdr:row>
      <xdr:rowOff>28575</xdr:rowOff>
    </xdr:from>
    <xdr:to>
      <xdr:col>6</xdr:col>
      <xdr:colOff>63500</xdr:colOff>
      <xdr:row>487</xdr:row>
      <xdr:rowOff>149272</xdr:rowOff>
    </xdr:to>
    <xdr:pic>
      <xdr:nvPicPr>
        <xdr:cNvPr id="136567" name="Image 136566">
          <a:extLst>
            <a:ext uri="{FF2B5EF4-FFF2-40B4-BE49-F238E27FC236}">
              <a16:creationId xmlns:a16="http://schemas.microsoft.com/office/drawing/2014/main" id="{00000000-0008-0000-0000-00007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6793050"/>
          <a:ext cx="1028700" cy="1120822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290</xdr:row>
      <xdr:rowOff>29175</xdr:rowOff>
    </xdr:from>
    <xdr:to>
      <xdr:col>10</xdr:col>
      <xdr:colOff>266700</xdr:colOff>
      <xdr:row>295</xdr:row>
      <xdr:rowOff>152549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990850" y="57960225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346</xdr:row>
      <xdr:rowOff>66675</xdr:rowOff>
    </xdr:from>
    <xdr:to>
      <xdr:col>26</xdr:col>
      <xdr:colOff>440817</xdr:colOff>
      <xdr:row>350</xdr:row>
      <xdr:rowOff>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345</xdr:row>
      <xdr:rowOff>47625</xdr:rowOff>
    </xdr:from>
    <xdr:to>
      <xdr:col>21</xdr:col>
      <xdr:colOff>361950</xdr:colOff>
      <xdr:row>350</xdr:row>
      <xdr:rowOff>131001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flexpipeinc.com/us_en/kit-flow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shop.flexpipeinc.com/us_en/kit-multi-multi-structure-starter-kit" TargetMode="External"/><Relationship Id="rId7" Type="http://schemas.openxmlformats.org/officeDocument/2006/relationships/hyperlink" Target="https://shop.flexpipeinc.com/us_en/kit-cart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hyperlink" Target="https://shop.flexpipeinc.com/us_en/kit-station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shop.flexpipeinc.com/us_en/kit-sm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shop.flexpipeinc.com/us_en/kit-training" TargetMode="External"/><Relationship Id="rId9" Type="http://schemas.openxmlformats.org/officeDocument/2006/relationships/hyperlink" Target="https://shop.flexpipeinc.com/us_en/kit-q5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81"/>
  <sheetViews>
    <sheetView showGridLines="0" zoomScaleNormal="100" zoomScaleSheetLayoutView="100" workbookViewId="0">
      <pane ySplit="1" topLeftCell="A32" activePane="bottomLeft" state="frozen"/>
      <selection pane="bottomLeft" activeCell="AD16" sqref="AD16"/>
    </sheetView>
  </sheetViews>
  <sheetFormatPr baseColWidth="10" defaultColWidth="9.140625" defaultRowHeight="12.75" x14ac:dyDescent="0.2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5.28515625" style="188" customWidth="1"/>
    <col min="11" max="11" width="6.5703125" style="188" customWidth="1"/>
    <col min="12" max="12" width="8.710937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4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 x14ac:dyDescent="0.25">
      <c r="A1" s="559"/>
      <c r="B1" s="401"/>
      <c r="C1" s="625" t="s">
        <v>929</v>
      </c>
      <c r="D1" s="453"/>
      <c r="E1" s="453"/>
      <c r="F1" s="453"/>
      <c r="G1" s="453"/>
      <c r="H1" s="453"/>
      <c r="I1" s="453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5"/>
      <c r="U1" s="1095" t="s">
        <v>480</v>
      </c>
      <c r="V1" s="1095"/>
      <c r="W1" s="1095"/>
      <c r="X1" s="1095"/>
      <c r="Y1" s="1234">
        <f>Y559</f>
        <v>485.71999999999997</v>
      </c>
      <c r="Z1" s="1234"/>
      <c r="AA1" s="1234"/>
      <c r="AB1" s="456"/>
      <c r="AC1" s="413"/>
    </row>
    <row r="2" spans="1:29" x14ac:dyDescent="0.2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25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405" t="s">
        <v>481</v>
      </c>
      <c r="W3" s="270"/>
      <c r="X3" s="270"/>
      <c r="Y3" s="270"/>
      <c r="Z3" s="270"/>
      <c r="AA3" s="270"/>
      <c r="AB3" s="270"/>
    </row>
    <row r="4" spans="1:29" ht="15" x14ac:dyDescent="0.2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402" t="s">
        <v>482</v>
      </c>
      <c r="V4" s="404"/>
      <c r="W4" s="402"/>
      <c r="X4" s="402"/>
      <c r="Y4" s="402"/>
      <c r="Z4" s="402"/>
      <c r="AA4" s="402"/>
      <c r="AB4" s="270"/>
    </row>
    <row r="5" spans="1:29" ht="15" x14ac:dyDescent="0.2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402" t="s">
        <v>483</v>
      </c>
      <c r="V5" s="404"/>
      <c r="W5" s="402"/>
      <c r="X5" s="402"/>
      <c r="Y5" s="402"/>
      <c r="Z5" s="402"/>
      <c r="AA5" s="270"/>
      <c r="AB5" s="270"/>
    </row>
    <row r="6" spans="1:29" ht="15.75" x14ac:dyDescent="0.2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403" t="s">
        <v>951</v>
      </c>
      <c r="V6" s="404"/>
      <c r="W6" s="402"/>
      <c r="X6" s="402"/>
      <c r="Y6" s="402"/>
      <c r="Z6" s="402"/>
      <c r="AA6" s="402"/>
      <c r="AB6" s="270"/>
    </row>
    <row r="7" spans="1:29" ht="27" customHeight="1" x14ac:dyDescent="0.2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 x14ac:dyDescent="0.2">
      <c r="A8" s="462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 x14ac:dyDescent="0.2">
      <c r="A9" s="462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">
      <c r="A10" s="462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">
      <c r="A11" s="462"/>
      <c r="B11" s="254"/>
      <c r="C11" s="254"/>
      <c r="D11" s="1212"/>
      <c r="E11" s="1213"/>
      <c r="F11" s="1213"/>
      <c r="G11" s="1213"/>
      <c r="H11" s="1213"/>
      <c r="I11" s="254"/>
      <c r="J11" s="1237"/>
      <c r="K11" s="1236"/>
      <c r="L11" s="1236"/>
      <c r="M11" s="1236"/>
      <c r="N11" s="1236"/>
      <c r="O11" s="254"/>
      <c r="P11" s="254"/>
      <c r="Q11" s="1214"/>
      <c r="R11" s="1215"/>
      <c r="S11" s="1215"/>
      <c r="T11" s="1215"/>
      <c r="U11" s="1215"/>
      <c r="V11" s="254"/>
      <c r="W11" s="1235"/>
      <c r="X11" s="1236"/>
      <c r="Y11" s="1236"/>
      <c r="Z11" s="1236"/>
      <c r="AA11" s="1236"/>
      <c r="AB11" s="254"/>
    </row>
    <row r="12" spans="1:29" x14ac:dyDescent="0.2">
      <c r="A12" s="462"/>
      <c r="B12" s="254"/>
      <c r="C12" s="254"/>
      <c r="D12" s="1213"/>
      <c r="E12" s="1213"/>
      <c r="F12" s="1213"/>
      <c r="G12" s="1213"/>
      <c r="H12" s="1213"/>
      <c r="I12" s="254"/>
      <c r="J12" s="1236"/>
      <c r="K12" s="1236"/>
      <c r="L12" s="1236"/>
      <c r="M12" s="1236"/>
      <c r="N12" s="1236"/>
      <c r="O12" s="254"/>
      <c r="P12" s="254"/>
      <c r="Q12" s="1215"/>
      <c r="R12" s="1215"/>
      <c r="S12" s="1215"/>
      <c r="T12" s="1215"/>
      <c r="U12" s="1215"/>
      <c r="V12" s="254"/>
      <c r="W12" s="1236"/>
      <c r="X12" s="1236"/>
      <c r="Y12" s="1236"/>
      <c r="Z12" s="1236"/>
      <c r="AA12" s="1236"/>
      <c r="AB12" s="254"/>
    </row>
    <row r="13" spans="1:29" x14ac:dyDescent="0.2">
      <c r="A13" s="462"/>
      <c r="B13" s="254"/>
      <c r="C13" s="254"/>
      <c r="D13" s="1213"/>
      <c r="E13" s="1213"/>
      <c r="F13" s="1213"/>
      <c r="G13" s="1213"/>
      <c r="H13" s="1213"/>
      <c r="I13" s="254"/>
      <c r="J13" s="1236"/>
      <c r="K13" s="1236"/>
      <c r="L13" s="1236"/>
      <c r="M13" s="1236"/>
      <c r="N13" s="1236"/>
      <c r="O13" s="254"/>
      <c r="P13" s="254"/>
      <c r="Q13" s="1215"/>
      <c r="R13" s="1215"/>
      <c r="S13" s="1215"/>
      <c r="T13" s="1215"/>
      <c r="U13" s="1215"/>
      <c r="V13" s="254"/>
      <c r="W13" s="1236"/>
      <c r="X13" s="1236"/>
      <c r="Y13" s="1236"/>
      <c r="Z13" s="1236"/>
      <c r="AA13" s="1236"/>
      <c r="AB13" s="254"/>
    </row>
    <row r="14" spans="1:29" x14ac:dyDescent="0.2">
      <c r="A14" s="462"/>
      <c r="B14" s="254"/>
      <c r="C14" s="254"/>
      <c r="D14" s="1213"/>
      <c r="E14" s="1213"/>
      <c r="F14" s="1213"/>
      <c r="G14" s="1213"/>
      <c r="H14" s="1213"/>
      <c r="I14" s="254"/>
      <c r="J14" s="1236"/>
      <c r="K14" s="1236"/>
      <c r="L14" s="1236"/>
      <c r="M14" s="1236"/>
      <c r="N14" s="1236"/>
      <c r="O14" s="254"/>
      <c r="P14" s="254"/>
      <c r="Q14" s="1215"/>
      <c r="R14" s="1215"/>
      <c r="S14" s="1215"/>
      <c r="T14" s="1215"/>
      <c r="U14" s="1215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 x14ac:dyDescent="0.3">
      <c r="A15" s="463"/>
      <c r="B15" s="400"/>
      <c r="C15" s="400"/>
      <c r="D15" s="400"/>
      <c r="E15" s="400"/>
      <c r="F15" s="400"/>
      <c r="G15" s="400"/>
      <c r="H15" s="400"/>
      <c r="I15" s="400"/>
      <c r="J15" s="1236"/>
      <c r="K15" s="1236"/>
      <c r="L15" s="1236"/>
      <c r="M15" s="1236"/>
      <c r="N15" s="1236"/>
      <c r="O15" s="400"/>
      <c r="P15" s="400"/>
      <c r="Q15" s="1215"/>
      <c r="R15" s="1215"/>
      <c r="S15" s="1215"/>
      <c r="T15" s="1215"/>
      <c r="U15" s="1215"/>
      <c r="V15" s="400"/>
      <c r="W15" s="400"/>
      <c r="X15" s="400"/>
      <c r="Y15" s="400"/>
      <c r="Z15" s="400"/>
      <c r="AA15" s="400"/>
      <c r="AB15" s="400"/>
      <c r="AC15" s="414"/>
    </row>
    <row r="16" spans="1:29" ht="18.75" x14ac:dyDescent="0.2">
      <c r="A16" s="462"/>
      <c r="B16" s="398"/>
      <c r="C16" s="398"/>
      <c r="D16" s="937"/>
      <c r="E16" s="938"/>
      <c r="F16" s="938"/>
      <c r="G16" s="938"/>
      <c r="H16" s="938"/>
      <c r="I16" s="399"/>
      <c r="J16" s="937"/>
      <c r="K16" s="938"/>
      <c r="L16" s="938"/>
      <c r="M16" s="938"/>
      <c r="N16" s="938"/>
      <c r="O16" s="399"/>
      <c r="P16" s="399"/>
      <c r="Q16" s="937"/>
      <c r="R16" s="938"/>
      <c r="S16" s="938"/>
      <c r="T16" s="938"/>
      <c r="U16" s="938"/>
      <c r="V16" s="399"/>
      <c r="W16" s="937"/>
      <c r="X16" s="938"/>
      <c r="Y16" s="938"/>
      <c r="Z16" s="938"/>
      <c r="AA16" s="938"/>
      <c r="AB16" s="399"/>
    </row>
    <row r="17" spans="1:29" ht="5.0999999999999996" customHeight="1" x14ac:dyDescent="0.3">
      <c r="A17" s="462"/>
      <c r="B17" s="406"/>
      <c r="C17" s="406"/>
      <c r="D17" s="938"/>
      <c r="E17" s="938"/>
      <c r="F17" s="938"/>
      <c r="G17" s="938"/>
      <c r="H17" s="938"/>
      <c r="I17" s="457"/>
      <c r="J17" s="938"/>
      <c r="K17" s="938"/>
      <c r="L17" s="938"/>
      <c r="M17" s="938"/>
      <c r="N17" s="938"/>
      <c r="O17" s="457"/>
      <c r="P17" s="457"/>
      <c r="Q17" s="938"/>
      <c r="R17" s="938"/>
      <c r="S17" s="938"/>
      <c r="T17" s="938"/>
      <c r="U17" s="938"/>
      <c r="V17" s="457"/>
      <c r="W17" s="938"/>
      <c r="X17" s="938"/>
      <c r="Y17" s="938"/>
      <c r="Z17" s="938"/>
      <c r="AA17" s="938"/>
      <c r="AB17" s="406"/>
    </row>
    <row r="18" spans="1:29" ht="34.9" customHeight="1" x14ac:dyDescent="0.2">
      <c r="A18" s="462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">
      <c r="A19" s="463"/>
      <c r="B19" s="400"/>
      <c r="C19" s="268"/>
      <c r="D19" s="863" t="s">
        <v>16</v>
      </c>
      <c r="E19" s="863"/>
      <c r="F19" s="863"/>
      <c r="G19" s="863"/>
      <c r="H19" s="863"/>
      <c r="I19" s="863"/>
      <c r="J19" s="863"/>
      <c r="K19" s="863"/>
      <c r="L19" s="863"/>
      <c r="M19" s="863"/>
      <c r="N19" s="863"/>
      <c r="O19" s="863"/>
      <c r="P19" s="863"/>
      <c r="Q19" s="863"/>
      <c r="R19" s="863"/>
      <c r="S19" s="863"/>
      <c r="T19" s="863"/>
      <c r="U19" s="863"/>
      <c r="V19" s="863"/>
      <c r="W19" s="863"/>
      <c r="X19" s="863"/>
      <c r="Y19" s="863"/>
      <c r="Z19" s="863"/>
      <c r="AA19" s="863"/>
      <c r="AB19" s="400"/>
      <c r="AC19" s="414"/>
    </row>
    <row r="20" spans="1:29" ht="27" customHeight="1" x14ac:dyDescent="0.2">
      <c r="A20" s="462"/>
      <c r="B20" s="1100" t="s">
        <v>826</v>
      </c>
      <c r="C20" s="1100"/>
      <c r="D20" s="1100"/>
      <c r="E20" s="1100"/>
      <c r="F20" s="1100"/>
      <c r="G20" s="1100"/>
      <c r="H20" s="1100"/>
      <c r="I20" s="1100"/>
      <c r="J20" s="1100"/>
      <c r="K20" s="1100"/>
      <c r="L20" s="1100"/>
      <c r="M20" s="1100"/>
      <c r="N20" s="1100"/>
      <c r="O20" s="1100"/>
      <c r="P20" s="1100"/>
      <c r="Q20" s="1100"/>
      <c r="R20" s="1100"/>
      <c r="S20" s="1100"/>
      <c r="T20" s="1100"/>
      <c r="U20" s="1100"/>
      <c r="V20" s="1100"/>
      <c r="W20" s="1100"/>
      <c r="X20" s="1100"/>
      <c r="Y20" s="1100"/>
      <c r="Z20" s="1100"/>
      <c r="AA20" s="1100"/>
      <c r="AB20" s="1100"/>
    </row>
    <row r="21" spans="1:29" ht="27" customHeight="1" x14ac:dyDescent="0.2">
      <c r="A21" s="462"/>
      <c r="B21" s="254"/>
      <c r="C21" s="254"/>
      <c r="D21" s="922" t="s">
        <v>373</v>
      </c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4"/>
      <c r="P21" s="270"/>
      <c r="Q21" s="270"/>
      <c r="R21" s="271"/>
      <c r="S21" s="271"/>
      <c r="T21" s="1096"/>
      <c r="U21" s="1096"/>
      <c r="V21" s="1096"/>
      <c r="W21" s="1096"/>
      <c r="X21" s="1096"/>
      <c r="Y21" s="1096"/>
      <c r="Z21" s="1096"/>
      <c r="AA21" s="1096"/>
      <c r="AB21" s="254"/>
    </row>
    <row r="22" spans="1:29" s="486" customFormat="1" ht="16.899999999999999" customHeight="1" x14ac:dyDescent="0.2">
      <c r="A22" s="482"/>
      <c r="B22" s="483"/>
      <c r="C22" s="483"/>
      <c r="D22" s="952" t="s">
        <v>220</v>
      </c>
      <c r="E22" s="953"/>
      <c r="F22" s="954"/>
      <c r="G22" s="1099"/>
      <c r="H22" s="1099"/>
      <c r="I22" s="840" t="s">
        <v>807</v>
      </c>
      <c r="J22" s="840"/>
      <c r="K22" s="841"/>
      <c r="L22" s="842">
        <v>6.5</v>
      </c>
      <c r="M22" s="843"/>
      <c r="N22" s="925">
        <v>0</v>
      </c>
      <c r="O22" s="926"/>
      <c r="P22" s="484"/>
      <c r="Q22" s="484"/>
      <c r="R22" s="1066"/>
      <c r="S22" s="1066"/>
      <c r="T22" s="1079"/>
      <c r="U22" s="1079"/>
      <c r="V22" s="1079"/>
      <c r="W22" s="1079"/>
      <c r="X22" s="1097"/>
      <c r="Y22" s="1097"/>
      <c r="Z22" s="1097"/>
      <c r="AA22" s="1097"/>
      <c r="AB22" s="483"/>
      <c r="AC22" s="485"/>
    </row>
    <row r="23" spans="1:29" s="486" customFormat="1" ht="16.899999999999999" customHeight="1" x14ac:dyDescent="0.2">
      <c r="A23" s="482"/>
      <c r="B23" s="483"/>
      <c r="C23" s="483"/>
      <c r="D23" s="1069" t="s">
        <v>432</v>
      </c>
      <c r="E23" s="1098"/>
      <c r="F23" s="1071"/>
      <c r="G23" s="931"/>
      <c r="H23" s="932"/>
      <c r="I23" s="840" t="s">
        <v>808</v>
      </c>
      <c r="J23" s="840"/>
      <c r="K23" s="841"/>
      <c r="L23" s="842">
        <v>6.5</v>
      </c>
      <c r="M23" s="843"/>
      <c r="N23" s="917">
        <v>0</v>
      </c>
      <c r="O23" s="918"/>
      <c r="P23" s="484"/>
      <c r="Q23" s="484"/>
      <c r="R23" s="487"/>
      <c r="S23" s="487"/>
      <c r="T23" s="488"/>
      <c r="U23" s="488"/>
      <c r="V23" s="488"/>
      <c r="W23" s="488"/>
      <c r="X23" s="489"/>
      <c r="Y23" s="489"/>
      <c r="Z23" s="489"/>
      <c r="AA23" s="489"/>
      <c r="AB23" s="483"/>
      <c r="AC23" s="485"/>
    </row>
    <row r="24" spans="1:29" s="486" customFormat="1" ht="16.899999999999999" customHeight="1" x14ac:dyDescent="0.2">
      <c r="A24" s="482"/>
      <c r="B24" s="483"/>
      <c r="C24" s="483"/>
      <c r="D24" s="919" t="s">
        <v>805</v>
      </c>
      <c r="E24" s="929"/>
      <c r="F24" s="930"/>
      <c r="G24" s="931"/>
      <c r="H24" s="932"/>
      <c r="I24" s="840" t="s">
        <v>809</v>
      </c>
      <c r="J24" s="840"/>
      <c r="K24" s="841"/>
      <c r="L24" s="842">
        <v>8.5</v>
      </c>
      <c r="M24" s="843"/>
      <c r="N24" s="917">
        <v>0</v>
      </c>
      <c r="O24" s="918"/>
      <c r="P24" s="484"/>
      <c r="Q24" s="484"/>
      <c r="R24" s="664"/>
      <c r="S24" s="664"/>
      <c r="T24" s="667"/>
      <c r="U24" s="667"/>
      <c r="V24" s="667"/>
      <c r="W24" s="667"/>
      <c r="X24" s="669"/>
      <c r="Y24" s="669"/>
      <c r="Z24" s="669"/>
      <c r="AA24" s="669"/>
      <c r="AB24" s="483"/>
      <c r="AC24" s="485"/>
    </row>
    <row r="25" spans="1:29" s="486" customFormat="1" ht="16.899999999999999" customHeight="1" x14ac:dyDescent="0.2">
      <c r="A25" s="482"/>
      <c r="B25" s="490"/>
      <c r="C25" s="490"/>
      <c r="D25" s="1069" t="s">
        <v>221</v>
      </c>
      <c r="E25" s="1070"/>
      <c r="F25" s="1071"/>
      <c r="G25" s="955"/>
      <c r="H25" s="955"/>
      <c r="I25" s="840" t="s">
        <v>810</v>
      </c>
      <c r="J25" s="840"/>
      <c r="K25" s="841"/>
      <c r="L25" s="842">
        <v>6.5</v>
      </c>
      <c r="M25" s="843"/>
      <c r="N25" s="894">
        <v>32</v>
      </c>
      <c r="O25" s="895"/>
      <c r="P25" s="484"/>
      <c r="Q25" s="484"/>
      <c r="R25" s="1066"/>
      <c r="S25" s="1066"/>
      <c r="T25" s="1062"/>
      <c r="U25" s="1062"/>
      <c r="V25" s="1062"/>
      <c r="W25" s="1062"/>
      <c r="X25" s="1067"/>
      <c r="Y25" s="1067"/>
      <c r="Z25" s="1067"/>
      <c r="AA25" s="1067"/>
      <c r="AB25" s="483"/>
      <c r="AC25" s="485"/>
    </row>
    <row r="26" spans="1:29" s="486" customFormat="1" ht="16.899999999999999" customHeight="1" x14ac:dyDescent="0.2">
      <c r="A26" s="482"/>
      <c r="B26" s="490"/>
      <c r="C26" s="490"/>
      <c r="D26" s="919" t="s">
        <v>803</v>
      </c>
      <c r="E26" s="920"/>
      <c r="F26" s="921"/>
      <c r="G26" s="896"/>
      <c r="H26" s="896"/>
      <c r="I26" s="840" t="s">
        <v>817</v>
      </c>
      <c r="J26" s="840"/>
      <c r="K26" s="841"/>
      <c r="L26" s="898">
        <v>8.5</v>
      </c>
      <c r="M26" s="899"/>
      <c r="N26" s="897">
        <v>0</v>
      </c>
      <c r="O26" s="895"/>
      <c r="P26" s="484"/>
      <c r="Q26" s="484"/>
      <c r="R26" s="664"/>
      <c r="S26" s="664"/>
      <c r="T26" s="663"/>
      <c r="U26" s="663"/>
      <c r="V26" s="663"/>
      <c r="W26" s="663"/>
      <c r="X26" s="665"/>
      <c r="Y26" s="665"/>
      <c r="Z26" s="665"/>
      <c r="AA26" s="665"/>
      <c r="AB26" s="483"/>
      <c r="AC26" s="485"/>
    </row>
    <row r="27" spans="1:29" s="486" customFormat="1" ht="16.899999999999999" customHeight="1" x14ac:dyDescent="0.2">
      <c r="A27" s="482"/>
      <c r="B27" s="483"/>
      <c r="C27" s="483"/>
      <c r="D27" s="1069" t="s">
        <v>222</v>
      </c>
      <c r="E27" s="1070"/>
      <c r="F27" s="1071"/>
      <c r="G27" s="936"/>
      <c r="H27" s="936"/>
      <c r="I27" s="840" t="s">
        <v>811</v>
      </c>
      <c r="J27" s="840"/>
      <c r="K27" s="841"/>
      <c r="L27" s="842">
        <v>6.5</v>
      </c>
      <c r="M27" s="843"/>
      <c r="N27" s="894">
        <v>0</v>
      </c>
      <c r="O27" s="895"/>
      <c r="P27" s="484"/>
      <c r="Q27" s="484"/>
      <c r="R27" s="1066"/>
      <c r="S27" s="1066"/>
      <c r="T27" s="1062"/>
      <c r="U27" s="1062"/>
      <c r="V27" s="1062"/>
      <c r="W27" s="1062"/>
      <c r="X27" s="1067"/>
      <c r="Y27" s="1067"/>
      <c r="Z27" s="1067"/>
      <c r="AA27" s="1067"/>
      <c r="AB27" s="483"/>
      <c r="AC27" s="485"/>
    </row>
    <row r="28" spans="1:29" s="486" customFormat="1" ht="16.899999999999999" customHeight="1" x14ac:dyDescent="0.2">
      <c r="A28" s="482"/>
      <c r="B28" s="483"/>
      <c r="C28" s="483"/>
      <c r="D28" s="1069" t="s">
        <v>224</v>
      </c>
      <c r="E28" s="1070"/>
      <c r="F28" s="1071"/>
      <c r="G28" s="1052"/>
      <c r="H28" s="1052"/>
      <c r="I28" s="840" t="s">
        <v>812</v>
      </c>
      <c r="J28" s="840"/>
      <c r="K28" s="841"/>
      <c r="L28" s="842">
        <v>6.5</v>
      </c>
      <c r="M28" s="843"/>
      <c r="N28" s="894">
        <v>0</v>
      </c>
      <c r="O28" s="895"/>
      <c r="P28" s="484"/>
      <c r="Q28" s="484"/>
      <c r="R28" s="1066"/>
      <c r="S28" s="1066"/>
      <c r="T28" s="1062"/>
      <c r="U28" s="1062"/>
      <c r="V28" s="1062"/>
      <c r="W28" s="1062"/>
      <c r="X28" s="1067"/>
      <c r="Y28" s="1067"/>
      <c r="Z28" s="1067"/>
      <c r="AA28" s="1067"/>
      <c r="AB28" s="483"/>
      <c r="AC28" s="485"/>
    </row>
    <row r="29" spans="1:29" s="486" customFormat="1" ht="16.899999999999999" customHeight="1" x14ac:dyDescent="0.2">
      <c r="A29" s="482"/>
      <c r="B29" s="483"/>
      <c r="C29" s="483"/>
      <c r="D29" s="1069" t="s">
        <v>239</v>
      </c>
      <c r="E29" s="1070"/>
      <c r="F29" s="1071"/>
      <c r="G29" s="1053"/>
      <c r="H29" s="932"/>
      <c r="I29" s="840" t="s">
        <v>813</v>
      </c>
      <c r="J29" s="840"/>
      <c r="K29" s="841"/>
      <c r="L29" s="842">
        <v>6.5</v>
      </c>
      <c r="M29" s="843"/>
      <c r="N29" s="927">
        <v>0</v>
      </c>
      <c r="O29" s="928"/>
      <c r="P29" s="484"/>
      <c r="Q29" s="484"/>
      <c r="R29" s="487"/>
      <c r="S29" s="487"/>
      <c r="T29" s="1062"/>
      <c r="U29" s="1062"/>
      <c r="V29" s="1062"/>
      <c r="W29" s="1062"/>
      <c r="X29" s="1067"/>
      <c r="Y29" s="1067"/>
      <c r="Z29" s="1067"/>
      <c r="AA29" s="1067"/>
      <c r="AB29" s="483"/>
      <c r="AC29" s="485"/>
    </row>
    <row r="30" spans="1:29" s="486" customFormat="1" ht="16.899999999999999" customHeight="1" x14ac:dyDescent="0.2">
      <c r="A30" s="482"/>
      <c r="B30" s="483"/>
      <c r="C30" s="483"/>
      <c r="D30" s="1069" t="s">
        <v>223</v>
      </c>
      <c r="E30" s="1070"/>
      <c r="F30" s="1071"/>
      <c r="G30" s="933"/>
      <c r="H30" s="933"/>
      <c r="I30" s="840" t="s">
        <v>814</v>
      </c>
      <c r="J30" s="840"/>
      <c r="K30" s="841"/>
      <c r="L30" s="842">
        <v>7.3</v>
      </c>
      <c r="M30" s="843"/>
      <c r="N30" s="894">
        <v>0</v>
      </c>
      <c r="O30" s="895"/>
      <c r="P30" s="484"/>
      <c r="Q30" s="484"/>
      <c r="R30" s="1068"/>
      <c r="S30" s="1068"/>
      <c r="T30" s="1062"/>
      <c r="U30" s="1062"/>
      <c r="V30" s="1062"/>
      <c r="W30" s="1062"/>
      <c r="X30" s="1062"/>
      <c r="Y30" s="1062"/>
      <c r="Z30" s="1062"/>
      <c r="AA30" s="1062"/>
      <c r="AB30" s="483"/>
      <c r="AC30" s="485"/>
    </row>
    <row r="31" spans="1:29" s="486" customFormat="1" ht="16.899999999999999" customHeight="1" x14ac:dyDescent="0.2">
      <c r="A31" s="482"/>
      <c r="B31" s="483"/>
      <c r="C31" s="483"/>
      <c r="D31" s="919" t="s">
        <v>806</v>
      </c>
      <c r="E31" s="920"/>
      <c r="F31" s="930"/>
      <c r="G31" s="933"/>
      <c r="H31" s="933"/>
      <c r="I31" s="840" t="s">
        <v>920</v>
      </c>
      <c r="J31" s="840"/>
      <c r="K31" s="841"/>
      <c r="L31" s="842">
        <v>11.5</v>
      </c>
      <c r="M31" s="843"/>
      <c r="N31" s="894">
        <v>0</v>
      </c>
      <c r="O31" s="895"/>
      <c r="P31" s="484"/>
      <c r="Q31" s="484"/>
      <c r="R31" s="666"/>
      <c r="S31" s="666"/>
      <c r="T31" s="663"/>
      <c r="U31" s="663"/>
      <c r="V31" s="663"/>
      <c r="W31" s="663"/>
      <c r="X31" s="663"/>
      <c r="Y31" s="663"/>
      <c r="Z31" s="663"/>
      <c r="AA31" s="663"/>
      <c r="AB31" s="483"/>
      <c r="AC31" s="485"/>
    </row>
    <row r="32" spans="1:29" s="486" customFormat="1" ht="16.899999999999999" customHeight="1" x14ac:dyDescent="0.2">
      <c r="A32" s="482"/>
      <c r="B32" s="483"/>
      <c r="C32" s="483"/>
      <c r="D32" s="1069" t="s">
        <v>409</v>
      </c>
      <c r="E32" s="1070"/>
      <c r="F32" s="1071"/>
      <c r="G32" s="934"/>
      <c r="H32" s="934"/>
      <c r="I32" s="840" t="s">
        <v>815</v>
      </c>
      <c r="J32" s="840"/>
      <c r="K32" s="841"/>
      <c r="L32" s="842">
        <v>8</v>
      </c>
      <c r="M32" s="843"/>
      <c r="N32" s="894">
        <v>0</v>
      </c>
      <c r="O32" s="895"/>
      <c r="P32" s="484"/>
      <c r="Q32" s="484"/>
      <c r="R32" s="491"/>
      <c r="S32" s="491"/>
      <c r="T32" s="1051"/>
      <c r="U32" s="1051"/>
      <c r="V32" s="1051"/>
      <c r="W32" s="1051"/>
      <c r="X32" s="1051"/>
      <c r="Y32" s="1051"/>
      <c r="Z32" s="1051"/>
      <c r="AA32" s="1051"/>
      <c r="AB32" s="483"/>
      <c r="AC32" s="485"/>
    </row>
    <row r="33" spans="1:34" s="486" customFormat="1" ht="16.899999999999999" customHeight="1" x14ac:dyDescent="0.2">
      <c r="A33" s="482"/>
      <c r="B33" s="483"/>
      <c r="C33" s="483"/>
      <c r="D33" s="1076" t="s">
        <v>424</v>
      </c>
      <c r="E33" s="1077"/>
      <c r="F33" s="1078"/>
      <c r="G33" s="935"/>
      <c r="H33" s="932"/>
      <c r="I33" s="840" t="s">
        <v>816</v>
      </c>
      <c r="J33" s="840"/>
      <c r="K33" s="841"/>
      <c r="L33" s="842">
        <v>9.85</v>
      </c>
      <c r="M33" s="843"/>
      <c r="N33" s="894">
        <v>0</v>
      </c>
      <c r="O33" s="895"/>
      <c r="P33" s="484"/>
      <c r="Q33" s="484"/>
      <c r="R33" s="491"/>
      <c r="S33" s="491"/>
      <c r="T33" s="492"/>
      <c r="U33" s="492"/>
      <c r="V33" s="492"/>
      <c r="W33" s="492"/>
      <c r="X33" s="492"/>
      <c r="Y33" s="492"/>
      <c r="Z33" s="492"/>
      <c r="AA33" s="492"/>
      <c r="AB33" s="483"/>
      <c r="AC33" s="485"/>
    </row>
    <row r="34" spans="1:34" s="486" customFormat="1" ht="16.899999999999999" customHeight="1" x14ac:dyDescent="0.2">
      <c r="A34" s="482"/>
      <c r="B34" s="483"/>
      <c r="C34" s="483"/>
      <c r="D34" s="919" t="s">
        <v>825</v>
      </c>
      <c r="E34" s="929"/>
      <c r="F34" s="930"/>
      <c r="G34" s="1063"/>
      <c r="H34" s="1064"/>
      <c r="I34" s="840" t="s">
        <v>827</v>
      </c>
      <c r="J34" s="840"/>
      <c r="K34" s="841"/>
      <c r="L34" s="842">
        <v>8.5</v>
      </c>
      <c r="M34" s="843"/>
      <c r="N34" s="894">
        <v>0</v>
      </c>
      <c r="O34" s="895"/>
      <c r="P34" s="484"/>
      <c r="Q34" s="484"/>
      <c r="R34" s="666"/>
      <c r="S34" s="666"/>
      <c r="T34" s="668"/>
      <c r="U34" s="668"/>
      <c r="V34" s="668"/>
      <c r="W34" s="668"/>
      <c r="X34" s="668"/>
      <c r="Y34" s="668"/>
      <c r="Z34" s="668"/>
      <c r="AA34" s="668"/>
      <c r="AB34" s="483"/>
      <c r="AC34" s="485"/>
    </row>
    <row r="35" spans="1:34" s="486" customFormat="1" ht="16.899999999999999" customHeight="1" thickBot="1" x14ac:dyDescent="0.25">
      <c r="A35" s="482"/>
      <c r="B35" s="483"/>
      <c r="C35" s="483"/>
      <c r="D35" s="1076" t="s">
        <v>818</v>
      </c>
      <c r="E35" s="1094"/>
      <c r="F35" s="1094"/>
      <c r="G35" s="839"/>
      <c r="H35" s="839"/>
      <c r="I35" s="840" t="s">
        <v>819</v>
      </c>
      <c r="J35" s="840"/>
      <c r="K35" s="841"/>
      <c r="L35" s="842">
        <v>6.5</v>
      </c>
      <c r="M35" s="843"/>
      <c r="N35" s="894">
        <v>0</v>
      </c>
      <c r="O35" s="895"/>
      <c r="P35" s="484"/>
      <c r="Q35" s="662"/>
      <c r="R35" s="661"/>
      <c r="S35" s="661"/>
      <c r="T35" s="660"/>
      <c r="U35" s="660"/>
      <c r="V35" s="660"/>
      <c r="W35" s="660"/>
      <c r="X35" s="660"/>
      <c r="Y35" s="660"/>
      <c r="Z35" s="660"/>
      <c r="AA35" s="660"/>
      <c r="AB35" s="483"/>
      <c r="AC35" s="485"/>
    </row>
    <row r="36" spans="1:34" ht="16.899999999999999" customHeight="1" x14ac:dyDescent="0.25">
      <c r="A36" s="462"/>
      <c r="B36" s="254"/>
      <c r="C36" s="254"/>
      <c r="D36" s="751" t="s">
        <v>925</v>
      </c>
      <c r="E36" s="746"/>
      <c r="F36" s="745"/>
      <c r="G36" s="747"/>
      <c r="H36" s="747"/>
      <c r="I36" s="748"/>
      <c r="J36" s="749"/>
      <c r="K36" s="750"/>
      <c r="L36" s="752" t="s">
        <v>924</v>
      </c>
      <c r="M36" s="744"/>
      <c r="N36" s="743"/>
      <c r="O36" s="742"/>
      <c r="P36" s="270"/>
      <c r="Q36" s="270"/>
      <c r="R36" s="272"/>
      <c r="S36" s="272"/>
      <c r="T36" s="1065"/>
      <c r="U36" s="1065"/>
      <c r="V36" s="1065"/>
      <c r="W36" s="1065"/>
      <c r="X36" s="1065"/>
      <c r="Y36" s="1065"/>
      <c r="Z36" s="1065"/>
      <c r="AA36" s="1065"/>
      <c r="AB36" s="254"/>
    </row>
    <row r="37" spans="1:34" s="188" customFormat="1" ht="27" customHeight="1" x14ac:dyDescent="0.2">
      <c r="A37" s="254"/>
      <c r="B37" s="254"/>
      <c r="C37" s="254"/>
      <c r="D37" s="273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06"/>
    </row>
    <row r="38" spans="1:34" s="191" customFormat="1" ht="27" customHeight="1" x14ac:dyDescent="0.3">
      <c r="A38" s="464"/>
      <c r="B38" s="400"/>
      <c r="C38" s="400"/>
      <c r="D38" s="863" t="s">
        <v>293</v>
      </c>
      <c r="E38" s="863"/>
      <c r="F38" s="863"/>
      <c r="G38" s="863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400"/>
    </row>
    <row r="39" spans="1:34" ht="27" customHeight="1" x14ac:dyDescent="0.2">
      <c r="A39" s="462"/>
      <c r="B39" s="274"/>
      <c r="C39" s="274"/>
      <c r="D39" s="290"/>
      <c r="E39" s="290"/>
      <c r="F39" s="290"/>
      <c r="G39" s="290"/>
      <c r="H39" s="290"/>
      <c r="I39" s="290"/>
      <c r="J39" s="291"/>
      <c r="K39" s="292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54"/>
      <c r="AC39" s="394"/>
      <c r="AD39" s="192"/>
      <c r="AE39" s="192"/>
      <c r="AF39" s="192"/>
      <c r="AG39" s="192"/>
      <c r="AH39" s="192"/>
    </row>
    <row r="40" spans="1:34" ht="14.25" x14ac:dyDescent="0.2">
      <c r="A40" s="462"/>
      <c r="B40" s="254"/>
      <c r="C40" s="254"/>
      <c r="D40" s="360"/>
      <c r="E40" s="361"/>
      <c r="F40" s="361"/>
      <c r="G40" s="362"/>
      <c r="H40" s="293"/>
      <c r="I40" s="360"/>
      <c r="J40" s="361"/>
      <c r="K40" s="361"/>
      <c r="L40" s="362"/>
      <c r="M40" s="293"/>
      <c r="N40" s="360"/>
      <c r="O40" s="361"/>
      <c r="P40" s="361"/>
      <c r="Q40" s="362"/>
      <c r="R40" s="293"/>
      <c r="S40" s="360"/>
      <c r="T40" s="361"/>
      <c r="U40" s="361"/>
      <c r="V40" s="362"/>
      <c r="W40" s="293"/>
      <c r="X40" s="360"/>
      <c r="Y40" s="361"/>
      <c r="Z40" s="361"/>
      <c r="AA40" s="362"/>
      <c r="AB40" s="260"/>
      <c r="AC40" s="394"/>
      <c r="AD40" s="192"/>
      <c r="AE40" s="192"/>
      <c r="AF40" s="192"/>
      <c r="AG40" s="192"/>
      <c r="AH40" s="192"/>
    </row>
    <row r="41" spans="1:34" ht="14.25" x14ac:dyDescent="0.2">
      <c r="A41" s="462"/>
      <c r="B41" s="254"/>
      <c r="C41" s="254"/>
      <c r="D41" s="363"/>
      <c r="E41" s="364"/>
      <c r="F41" s="364"/>
      <c r="G41" s="365"/>
      <c r="H41" s="293"/>
      <c r="I41" s="363"/>
      <c r="J41" s="364"/>
      <c r="K41" s="364"/>
      <c r="L41" s="365"/>
      <c r="M41" s="293"/>
      <c r="N41" s="363"/>
      <c r="O41" s="364"/>
      <c r="P41" s="364"/>
      <c r="Q41" s="365"/>
      <c r="R41" s="293"/>
      <c r="S41" s="363"/>
      <c r="T41" s="364"/>
      <c r="U41" s="364"/>
      <c r="V41" s="365"/>
      <c r="W41" s="293"/>
      <c r="X41" s="363"/>
      <c r="Y41" s="364"/>
      <c r="Z41" s="364"/>
      <c r="AA41" s="365"/>
      <c r="AB41" s="260"/>
      <c r="AC41" s="394"/>
      <c r="AD41" s="192"/>
      <c r="AE41" s="192"/>
      <c r="AF41" s="192"/>
      <c r="AG41" s="192"/>
      <c r="AH41" s="192"/>
    </row>
    <row r="42" spans="1:34" ht="14.25" x14ac:dyDescent="0.2">
      <c r="A42" s="462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4"/>
      <c r="AD42" s="192"/>
      <c r="AE42" s="192"/>
      <c r="AF42" s="192"/>
      <c r="AG42" s="192"/>
      <c r="AH42" s="192"/>
    </row>
    <row r="43" spans="1:34" ht="14.25" x14ac:dyDescent="0.2">
      <c r="A43" s="462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4"/>
      <c r="AD43" s="192"/>
      <c r="AE43" s="192"/>
      <c r="AF43" s="192"/>
      <c r="AG43" s="192"/>
      <c r="AH43" s="192"/>
    </row>
    <row r="44" spans="1:34" ht="14.25" x14ac:dyDescent="0.2">
      <c r="A44" s="462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4"/>
      <c r="AD44" s="192"/>
      <c r="AE44" s="192"/>
      <c r="AF44" s="192"/>
      <c r="AG44" s="192"/>
      <c r="AH44" s="192"/>
    </row>
    <row r="45" spans="1:34" ht="12.75" customHeight="1" x14ac:dyDescent="0.25">
      <c r="A45" s="462"/>
      <c r="B45" s="254"/>
      <c r="C45" s="254"/>
      <c r="D45" s="820" t="s">
        <v>172</v>
      </c>
      <c r="E45" s="821"/>
      <c r="F45" s="821"/>
      <c r="G45" s="822"/>
      <c r="H45" s="293"/>
      <c r="I45" s="820" t="s">
        <v>173</v>
      </c>
      <c r="J45" s="821"/>
      <c r="K45" s="821"/>
      <c r="L45" s="822"/>
      <c r="M45" s="293"/>
      <c r="N45" s="820" t="s">
        <v>174</v>
      </c>
      <c r="O45" s="821"/>
      <c r="P45" s="821"/>
      <c r="Q45" s="822"/>
      <c r="R45" s="293"/>
      <c r="S45" s="820" t="s">
        <v>175</v>
      </c>
      <c r="T45" s="821"/>
      <c r="U45" s="821"/>
      <c r="V45" s="822"/>
      <c r="W45" s="293"/>
      <c r="X45" s="820" t="s">
        <v>176</v>
      </c>
      <c r="Y45" s="821"/>
      <c r="Z45" s="821"/>
      <c r="AA45" s="822"/>
      <c r="AB45" s="407"/>
      <c r="AC45" s="394"/>
      <c r="AD45" s="192"/>
      <c r="AE45" s="192"/>
      <c r="AF45" s="192"/>
      <c r="AG45" s="192"/>
      <c r="AH45" s="192"/>
    </row>
    <row r="46" spans="1:34" s="193" customFormat="1" ht="27" customHeight="1" x14ac:dyDescent="0.2">
      <c r="A46" s="465"/>
      <c r="B46" s="262"/>
      <c r="C46" s="262"/>
      <c r="D46" s="766" t="s">
        <v>292</v>
      </c>
      <c r="E46" s="767"/>
      <c r="F46" s="767"/>
      <c r="G46" s="783"/>
      <c r="H46" s="308"/>
      <c r="I46" s="766" t="s">
        <v>164</v>
      </c>
      <c r="J46" s="767"/>
      <c r="K46" s="767"/>
      <c r="L46" s="783"/>
      <c r="M46" s="308"/>
      <c r="N46" s="766" t="s">
        <v>170</v>
      </c>
      <c r="O46" s="767"/>
      <c r="P46" s="767"/>
      <c r="Q46" s="783"/>
      <c r="R46" s="308"/>
      <c r="S46" s="766" t="s">
        <v>169</v>
      </c>
      <c r="T46" s="767"/>
      <c r="U46" s="767"/>
      <c r="V46" s="783"/>
      <c r="W46" s="308"/>
      <c r="X46" s="766" t="s">
        <v>17</v>
      </c>
      <c r="Y46" s="767"/>
      <c r="Z46" s="767"/>
      <c r="AA46" s="783"/>
      <c r="AB46" s="408"/>
      <c r="AC46" s="396"/>
      <c r="AD46" s="194"/>
      <c r="AE46" s="194"/>
      <c r="AF46" s="194"/>
      <c r="AG46" s="194"/>
      <c r="AH46" s="194"/>
    </row>
    <row r="47" spans="1:34" ht="16.149999999999999" customHeight="1" x14ac:dyDescent="0.2">
      <c r="A47" s="462"/>
      <c r="B47" s="254"/>
      <c r="C47" s="254"/>
      <c r="D47" s="812">
        <v>18.5</v>
      </c>
      <c r="E47" s="813"/>
      <c r="F47" s="912">
        <v>0</v>
      </c>
      <c r="G47" s="913"/>
      <c r="H47" s="293"/>
      <c r="I47" s="812">
        <v>1.4</v>
      </c>
      <c r="J47" s="813"/>
      <c r="K47" s="825">
        <v>0</v>
      </c>
      <c r="L47" s="826"/>
      <c r="M47" s="293"/>
      <c r="N47" s="812">
        <v>1.7</v>
      </c>
      <c r="O47" s="813"/>
      <c r="P47" s="825">
        <v>0</v>
      </c>
      <c r="Q47" s="826"/>
      <c r="R47" s="293"/>
      <c r="S47" s="1072">
        <v>1.7</v>
      </c>
      <c r="T47" s="1073"/>
      <c r="U47" s="912">
        <v>0</v>
      </c>
      <c r="V47" s="913"/>
      <c r="W47" s="293"/>
      <c r="X47" s="1072">
        <v>1.9</v>
      </c>
      <c r="Y47" s="1073"/>
      <c r="Z47" s="912">
        <v>0</v>
      </c>
      <c r="AA47" s="913"/>
      <c r="AB47" s="409"/>
      <c r="AC47" s="394"/>
      <c r="AD47" s="192"/>
      <c r="AE47" s="192"/>
      <c r="AF47" s="192"/>
      <c r="AG47" s="192"/>
      <c r="AH47" s="192"/>
    </row>
    <row r="48" spans="1:34" s="486" customFormat="1" ht="16.149999999999999" customHeight="1" x14ac:dyDescent="0.2">
      <c r="A48" s="482"/>
      <c r="B48" s="483"/>
      <c r="C48" s="483"/>
      <c r="D48" s="611">
        <f>G48*D47</f>
        <v>111</v>
      </c>
      <c r="E48" s="578"/>
      <c r="F48" s="579" t="s">
        <v>291</v>
      </c>
      <c r="G48" s="580">
        <v>6</v>
      </c>
      <c r="H48" s="563"/>
      <c r="I48" s="611">
        <f>I47*L48</f>
        <v>42</v>
      </c>
      <c r="J48" s="578"/>
      <c r="K48" s="579" t="s">
        <v>291</v>
      </c>
      <c r="L48" s="580">
        <v>30</v>
      </c>
      <c r="M48" s="563"/>
      <c r="N48" s="612">
        <f>Q48*N47</f>
        <v>51</v>
      </c>
      <c r="O48" s="600"/>
      <c r="P48" s="601" t="s">
        <v>291</v>
      </c>
      <c r="Q48" s="602">
        <v>30</v>
      </c>
      <c r="R48" s="563"/>
      <c r="S48" s="611">
        <f>V48*S47</f>
        <v>42.5</v>
      </c>
      <c r="T48" s="578"/>
      <c r="U48" s="579" t="s">
        <v>291</v>
      </c>
      <c r="V48" s="593">
        <v>25</v>
      </c>
      <c r="W48" s="563"/>
      <c r="X48" s="611">
        <f>AA48*X47</f>
        <v>76</v>
      </c>
      <c r="Y48" s="578"/>
      <c r="Z48" s="579" t="s">
        <v>291</v>
      </c>
      <c r="AA48" s="580">
        <v>40</v>
      </c>
      <c r="AB48" s="603"/>
      <c r="AC48" s="598"/>
      <c r="AD48" s="599"/>
      <c r="AE48" s="599"/>
      <c r="AF48" s="599"/>
      <c r="AG48" s="599"/>
      <c r="AH48" s="599"/>
    </row>
    <row r="49" spans="1:34" ht="10.35" customHeight="1" x14ac:dyDescent="0.2">
      <c r="A49" s="462"/>
      <c r="B49" s="254"/>
      <c r="C49" s="254"/>
      <c r="D49" s="1145"/>
      <c r="E49" s="1145"/>
      <c r="F49" s="1145"/>
      <c r="G49" s="1145"/>
      <c r="H49" s="293"/>
      <c r="I49" s="331"/>
      <c r="J49" s="331"/>
      <c r="K49" s="366"/>
      <c r="L49" s="366"/>
      <c r="M49" s="293"/>
      <c r="N49" s="331"/>
      <c r="O49" s="331"/>
      <c r="P49" s="366"/>
      <c r="Q49" s="366"/>
      <c r="R49" s="293"/>
      <c r="S49" s="331"/>
      <c r="T49" s="331"/>
      <c r="U49" s="366"/>
      <c r="V49" s="366"/>
      <c r="W49" s="293"/>
      <c r="X49" s="331"/>
      <c r="Y49" s="331"/>
      <c r="Z49" s="366"/>
      <c r="AA49" s="366"/>
      <c r="AB49" s="409"/>
      <c r="AC49" s="394"/>
      <c r="AD49" s="192"/>
      <c r="AE49" s="192"/>
      <c r="AF49" s="192"/>
      <c r="AG49" s="192"/>
      <c r="AH49" s="192"/>
    </row>
    <row r="50" spans="1:34" ht="13.5" customHeight="1" x14ac:dyDescent="0.2">
      <c r="A50" s="462"/>
      <c r="B50" s="254"/>
      <c r="C50" s="254"/>
      <c r="D50" s="360"/>
      <c r="E50" s="361"/>
      <c r="F50" s="361"/>
      <c r="G50" s="362"/>
      <c r="H50" s="293"/>
      <c r="I50" s="827"/>
      <c r="J50" s="828"/>
      <c r="K50" s="828"/>
      <c r="L50" s="829"/>
      <c r="M50" s="293"/>
      <c r="N50" s="827"/>
      <c r="O50" s="828"/>
      <c r="P50" s="828"/>
      <c r="Q50" s="829"/>
      <c r="R50" s="293"/>
      <c r="S50" s="1080"/>
      <c r="T50" s="1081"/>
      <c r="U50" s="1081"/>
      <c r="V50" s="1082"/>
      <c r="W50" s="293"/>
      <c r="X50" s="367"/>
      <c r="Y50" s="368"/>
      <c r="Z50" s="368"/>
      <c r="AA50" s="369"/>
      <c r="AB50" s="260"/>
      <c r="AC50" s="394"/>
      <c r="AD50" s="192"/>
      <c r="AE50" s="192"/>
      <c r="AF50" s="192"/>
      <c r="AG50" s="192"/>
      <c r="AH50" s="192"/>
    </row>
    <row r="51" spans="1:34" ht="14.25" x14ac:dyDescent="0.2">
      <c r="A51" s="462"/>
      <c r="B51" s="254"/>
      <c r="C51" s="254"/>
      <c r="D51" s="363"/>
      <c r="E51" s="364"/>
      <c r="F51" s="364"/>
      <c r="G51" s="365"/>
      <c r="H51" s="293"/>
      <c r="I51" s="830"/>
      <c r="J51" s="831"/>
      <c r="K51" s="831"/>
      <c r="L51" s="832"/>
      <c r="M51" s="293"/>
      <c r="N51" s="830"/>
      <c r="O51" s="831"/>
      <c r="P51" s="831"/>
      <c r="Q51" s="832"/>
      <c r="R51" s="293"/>
      <c r="S51" s="1083"/>
      <c r="T51" s="1084"/>
      <c r="U51" s="1084"/>
      <c r="V51" s="1085"/>
      <c r="W51" s="293"/>
      <c r="X51" s="370"/>
      <c r="Y51" s="371"/>
      <c r="Z51" s="371"/>
      <c r="AA51" s="372"/>
      <c r="AB51" s="260"/>
      <c r="AC51" s="394"/>
      <c r="AD51" s="192"/>
      <c r="AE51" s="192"/>
      <c r="AF51" s="192"/>
      <c r="AG51" s="192"/>
      <c r="AH51" s="192"/>
    </row>
    <row r="52" spans="1:34" ht="14.25" x14ac:dyDescent="0.2">
      <c r="A52" s="462"/>
      <c r="B52" s="254"/>
      <c r="C52" s="254"/>
      <c r="D52" s="363"/>
      <c r="E52" s="364"/>
      <c r="F52" s="364"/>
      <c r="G52" s="365"/>
      <c r="H52" s="293"/>
      <c r="I52" s="830"/>
      <c r="J52" s="831"/>
      <c r="K52" s="831"/>
      <c r="L52" s="832"/>
      <c r="M52" s="293"/>
      <c r="N52" s="830"/>
      <c r="O52" s="831"/>
      <c r="P52" s="831"/>
      <c r="Q52" s="832"/>
      <c r="R52" s="293"/>
      <c r="S52" s="1083"/>
      <c r="T52" s="1084"/>
      <c r="U52" s="1084"/>
      <c r="V52" s="1085"/>
      <c r="W52" s="293"/>
      <c r="X52" s="370"/>
      <c r="Y52" s="371"/>
      <c r="Z52" s="371"/>
      <c r="AA52" s="372"/>
      <c r="AB52" s="260"/>
      <c r="AC52" s="394"/>
      <c r="AD52" s="192"/>
      <c r="AE52" s="192"/>
      <c r="AF52" s="192"/>
      <c r="AG52" s="192"/>
      <c r="AH52" s="192"/>
    </row>
    <row r="53" spans="1:34" ht="14.25" x14ac:dyDescent="0.2">
      <c r="A53" s="462"/>
      <c r="B53" s="254"/>
      <c r="C53" s="254"/>
      <c r="D53" s="363"/>
      <c r="E53" s="364"/>
      <c r="F53" s="364"/>
      <c r="G53" s="365"/>
      <c r="H53" s="293"/>
      <c r="I53" s="830"/>
      <c r="J53" s="831"/>
      <c r="K53" s="831"/>
      <c r="L53" s="832"/>
      <c r="M53" s="293"/>
      <c r="N53" s="830"/>
      <c r="O53" s="831"/>
      <c r="P53" s="831"/>
      <c r="Q53" s="832"/>
      <c r="R53" s="293"/>
      <c r="S53" s="1083"/>
      <c r="T53" s="1084"/>
      <c r="U53" s="1084"/>
      <c r="V53" s="1085"/>
      <c r="W53" s="293"/>
      <c r="X53" s="370"/>
      <c r="Y53" s="371"/>
      <c r="Z53" s="371"/>
      <c r="AA53" s="372"/>
      <c r="AB53" s="260"/>
      <c r="AC53" s="394"/>
      <c r="AD53" s="192"/>
      <c r="AE53" s="192"/>
      <c r="AF53" s="192"/>
      <c r="AG53" s="192"/>
      <c r="AH53" s="192"/>
    </row>
    <row r="54" spans="1:34" ht="14.25" x14ac:dyDescent="0.2">
      <c r="A54" s="462"/>
      <c r="B54" s="254"/>
      <c r="C54" s="254"/>
      <c r="D54" s="373"/>
      <c r="E54" s="374"/>
      <c r="F54" s="374"/>
      <c r="G54" s="375"/>
      <c r="H54" s="293"/>
      <c r="I54" s="833"/>
      <c r="J54" s="834"/>
      <c r="K54" s="834"/>
      <c r="L54" s="835"/>
      <c r="M54" s="293"/>
      <c r="N54" s="833"/>
      <c r="O54" s="834"/>
      <c r="P54" s="834"/>
      <c r="Q54" s="835"/>
      <c r="R54" s="293"/>
      <c r="S54" s="1086"/>
      <c r="T54" s="1087"/>
      <c r="U54" s="1087"/>
      <c r="V54" s="1088"/>
      <c r="W54" s="293"/>
      <c r="X54" s="376"/>
      <c r="Y54" s="377"/>
      <c r="Z54" s="377"/>
      <c r="AA54" s="378"/>
      <c r="AB54" s="260"/>
      <c r="AC54" s="394"/>
      <c r="AD54" s="192"/>
      <c r="AE54" s="192"/>
      <c r="AF54" s="192"/>
      <c r="AG54" s="192"/>
      <c r="AH54" s="192"/>
    </row>
    <row r="55" spans="1:34" ht="12.75" customHeight="1" x14ac:dyDescent="0.25">
      <c r="A55" s="462"/>
      <c r="B55" s="254"/>
      <c r="C55" s="254"/>
      <c r="D55" s="820" t="s">
        <v>177</v>
      </c>
      <c r="E55" s="821"/>
      <c r="F55" s="821"/>
      <c r="G55" s="822"/>
      <c r="H55" s="293"/>
      <c r="I55" s="820" t="s">
        <v>435</v>
      </c>
      <c r="J55" s="821"/>
      <c r="K55" s="821"/>
      <c r="L55" s="822"/>
      <c r="M55" s="293"/>
      <c r="N55" s="820" t="s">
        <v>178</v>
      </c>
      <c r="O55" s="821"/>
      <c r="P55" s="821"/>
      <c r="Q55" s="822"/>
      <c r="R55" s="293"/>
      <c r="S55" s="820" t="s">
        <v>436</v>
      </c>
      <c r="T55" s="821"/>
      <c r="U55" s="821"/>
      <c r="V55" s="822"/>
      <c r="W55" s="293"/>
      <c r="X55" s="820" t="s">
        <v>179</v>
      </c>
      <c r="Y55" s="821"/>
      <c r="Z55" s="821"/>
      <c r="AA55" s="822"/>
      <c r="AB55" s="407"/>
      <c r="AC55" s="394"/>
      <c r="AD55" s="192"/>
      <c r="AE55" s="192"/>
      <c r="AF55" s="192"/>
      <c r="AG55" s="192"/>
      <c r="AH55" s="192"/>
    </row>
    <row r="56" spans="1:34" s="193" customFormat="1" ht="27" customHeight="1" x14ac:dyDescent="0.2">
      <c r="A56" s="465"/>
      <c r="B56" s="262"/>
      <c r="C56" s="262"/>
      <c r="D56" s="766" t="s">
        <v>281</v>
      </c>
      <c r="E56" s="767"/>
      <c r="F56" s="767"/>
      <c r="G56" s="783"/>
      <c r="H56" s="308"/>
      <c r="I56" s="836" t="s">
        <v>587</v>
      </c>
      <c r="J56" s="837"/>
      <c r="K56" s="837"/>
      <c r="L56" s="838"/>
      <c r="M56" s="308"/>
      <c r="N56" s="836" t="s">
        <v>588</v>
      </c>
      <c r="O56" s="837"/>
      <c r="P56" s="837"/>
      <c r="Q56" s="838"/>
      <c r="R56" s="308"/>
      <c r="S56" s="836" t="s">
        <v>570</v>
      </c>
      <c r="T56" s="837"/>
      <c r="U56" s="837"/>
      <c r="V56" s="838"/>
      <c r="W56" s="308"/>
      <c r="X56" s="766" t="s">
        <v>571</v>
      </c>
      <c r="Y56" s="767"/>
      <c r="Z56" s="767"/>
      <c r="AA56" s="783"/>
      <c r="AB56" s="408"/>
      <c r="AC56" s="396"/>
      <c r="AD56" s="194"/>
      <c r="AE56" s="194"/>
      <c r="AF56" s="194"/>
      <c r="AG56" s="194"/>
      <c r="AH56" s="194"/>
    </row>
    <row r="57" spans="1:34" ht="16.149999999999999" customHeight="1" x14ac:dyDescent="0.2">
      <c r="A57" s="462"/>
      <c r="B57" s="254"/>
      <c r="C57" s="254"/>
      <c r="D57" s="1074">
        <v>2.75</v>
      </c>
      <c r="E57" s="1075"/>
      <c r="F57" s="825">
        <v>0</v>
      </c>
      <c r="G57" s="826"/>
      <c r="H57" s="293"/>
      <c r="I57" s="812">
        <v>2.25</v>
      </c>
      <c r="J57" s="813"/>
      <c r="K57" s="825">
        <v>0</v>
      </c>
      <c r="L57" s="826"/>
      <c r="M57" s="293"/>
      <c r="N57" s="812">
        <v>1.5</v>
      </c>
      <c r="O57" s="813"/>
      <c r="P57" s="825">
        <v>0</v>
      </c>
      <c r="Q57" s="826"/>
      <c r="R57" s="293"/>
      <c r="S57" s="812">
        <v>18</v>
      </c>
      <c r="T57" s="813"/>
      <c r="U57" s="825">
        <v>0</v>
      </c>
      <c r="V57" s="826"/>
      <c r="W57" s="293"/>
      <c r="X57" s="812">
        <v>18.5</v>
      </c>
      <c r="Y57" s="813"/>
      <c r="Z57" s="825">
        <v>0</v>
      </c>
      <c r="AA57" s="826"/>
      <c r="AB57" s="409"/>
      <c r="AC57" s="394"/>
      <c r="AD57" s="192"/>
      <c r="AE57" s="192"/>
      <c r="AF57" s="192"/>
      <c r="AG57" s="192"/>
      <c r="AH57" s="192"/>
    </row>
    <row r="58" spans="1:34" s="486" customFormat="1" ht="16.350000000000001" customHeight="1" x14ac:dyDescent="0.2">
      <c r="A58" s="482"/>
      <c r="B58" s="483"/>
      <c r="C58" s="483"/>
      <c r="D58" s="611">
        <f>G58*D57</f>
        <v>55</v>
      </c>
      <c r="E58" s="564"/>
      <c r="F58" s="572" t="s">
        <v>291</v>
      </c>
      <c r="G58" s="573">
        <v>20</v>
      </c>
      <c r="H58" s="563"/>
      <c r="I58" s="611">
        <f>L58*I57</f>
        <v>45</v>
      </c>
      <c r="J58" s="578"/>
      <c r="K58" s="579" t="s">
        <v>291</v>
      </c>
      <c r="L58" s="580">
        <v>20</v>
      </c>
      <c r="M58" s="563"/>
      <c r="N58" s="611">
        <f>Q58*N57</f>
        <v>225</v>
      </c>
      <c r="O58" s="578"/>
      <c r="P58" s="579" t="s">
        <v>291</v>
      </c>
      <c r="Q58" s="580">
        <v>150</v>
      </c>
      <c r="R58" s="563"/>
      <c r="S58" s="611">
        <f>V58*S57</f>
        <v>108</v>
      </c>
      <c r="T58" s="578"/>
      <c r="U58" s="579" t="s">
        <v>291</v>
      </c>
      <c r="V58" s="580">
        <v>6</v>
      </c>
      <c r="W58" s="563"/>
      <c r="X58" s="611">
        <f>AA58*X57</f>
        <v>111</v>
      </c>
      <c r="Y58" s="578"/>
      <c r="Z58" s="579" t="s">
        <v>291</v>
      </c>
      <c r="AA58" s="580">
        <v>6</v>
      </c>
      <c r="AB58" s="483"/>
      <c r="AC58" s="598"/>
      <c r="AD58" s="599"/>
      <c r="AE58" s="599"/>
      <c r="AF58" s="599"/>
      <c r="AG58" s="599"/>
      <c r="AH58" s="599"/>
    </row>
    <row r="59" spans="1:34" s="486" customFormat="1" ht="16.149999999999999" customHeight="1" x14ac:dyDescent="0.2">
      <c r="A59" s="482"/>
      <c r="B59" s="483"/>
      <c r="C59" s="483"/>
      <c r="D59" s="676"/>
      <c r="E59" s="677"/>
      <c r="F59" s="678"/>
      <c r="G59" s="679"/>
      <c r="H59" s="563"/>
      <c r="I59" s="676"/>
      <c r="J59" s="677"/>
      <c r="K59" s="678"/>
      <c r="L59" s="679"/>
      <c r="M59" s="563"/>
      <c r="N59" s="676"/>
      <c r="O59" s="677"/>
      <c r="P59" s="678"/>
      <c r="Q59" s="679"/>
      <c r="R59" s="563"/>
      <c r="S59" s="676"/>
      <c r="T59" s="677"/>
      <c r="U59" s="678"/>
      <c r="V59" s="679"/>
      <c r="W59" s="563"/>
      <c r="X59" s="676"/>
      <c r="Y59" s="677"/>
      <c r="Z59" s="678"/>
      <c r="AA59" s="679"/>
      <c r="AB59" s="483"/>
      <c r="AC59" s="598"/>
      <c r="AD59" s="599"/>
      <c r="AE59" s="599"/>
      <c r="AF59" s="599"/>
      <c r="AG59" s="599"/>
      <c r="AH59" s="599"/>
    </row>
    <row r="60" spans="1:34" s="486" customFormat="1" ht="16.350000000000001" customHeight="1" x14ac:dyDescent="0.2">
      <c r="A60" s="482"/>
      <c r="B60" s="483"/>
      <c r="C60" s="483"/>
      <c r="D60" s="360"/>
      <c r="E60" s="361"/>
      <c r="F60" s="361"/>
      <c r="G60" s="362"/>
      <c r="H60" s="563"/>
      <c r="I60" s="676"/>
      <c r="J60" s="677"/>
      <c r="K60" s="678"/>
      <c r="L60" s="679"/>
      <c r="M60" s="563"/>
      <c r="N60" s="676"/>
      <c r="O60" s="677"/>
      <c r="P60" s="678"/>
      <c r="Q60" s="679"/>
      <c r="R60" s="563"/>
      <c r="S60" s="676"/>
      <c r="T60" s="677"/>
      <c r="U60" s="678"/>
      <c r="V60" s="679"/>
      <c r="W60" s="563"/>
      <c r="X60" s="676"/>
      <c r="Y60" s="677"/>
      <c r="Z60" s="678"/>
      <c r="AA60" s="679"/>
      <c r="AB60" s="483"/>
      <c r="AC60" s="598"/>
      <c r="AD60" s="599"/>
      <c r="AE60" s="599"/>
      <c r="AF60" s="599"/>
      <c r="AG60" s="599"/>
      <c r="AH60" s="599"/>
    </row>
    <row r="61" spans="1:34" s="486" customFormat="1" ht="16.149999999999999" customHeight="1" x14ac:dyDescent="0.2">
      <c r="A61" s="482"/>
      <c r="B61" s="483"/>
      <c r="C61" s="483"/>
      <c r="D61" s="363"/>
      <c r="E61" s="364"/>
      <c r="F61" s="364"/>
      <c r="G61" s="365"/>
      <c r="H61" s="563"/>
      <c r="I61" s="676"/>
      <c r="J61" s="677"/>
      <c r="K61" s="678"/>
      <c r="L61" s="679"/>
      <c r="M61" s="563"/>
      <c r="N61" s="676"/>
      <c r="O61" s="677"/>
      <c r="P61" s="678"/>
      <c r="Q61" s="679"/>
      <c r="R61" s="563"/>
      <c r="S61" s="676"/>
      <c r="T61" s="677"/>
      <c r="U61" s="678"/>
      <c r="V61" s="679"/>
      <c r="W61" s="563"/>
      <c r="X61" s="676"/>
      <c r="Y61" s="677"/>
      <c r="Z61" s="678"/>
      <c r="AA61" s="679"/>
      <c r="AB61" s="483"/>
      <c r="AC61" s="598"/>
      <c r="AD61" s="599"/>
      <c r="AE61" s="599"/>
      <c r="AF61" s="599"/>
      <c r="AG61" s="599"/>
      <c r="AH61" s="599"/>
    </row>
    <row r="62" spans="1:34" s="486" customFormat="1" ht="16.149999999999999" customHeight="1" x14ac:dyDescent="0.2">
      <c r="A62" s="482"/>
      <c r="B62" s="483"/>
      <c r="C62" s="483"/>
      <c r="D62" s="363"/>
      <c r="E62" s="364"/>
      <c r="F62" s="364"/>
      <c r="G62" s="365"/>
      <c r="H62" s="563"/>
      <c r="I62" s="676"/>
      <c r="J62" s="677"/>
      <c r="K62" s="678"/>
      <c r="L62" s="679"/>
      <c r="M62" s="563"/>
      <c r="N62" s="676"/>
      <c r="O62" s="677"/>
      <c r="P62" s="678"/>
      <c r="Q62" s="679"/>
      <c r="R62" s="563"/>
      <c r="S62" s="676"/>
      <c r="T62" s="677"/>
      <c r="U62" s="678"/>
      <c r="V62" s="679"/>
      <c r="W62" s="563"/>
      <c r="X62" s="676"/>
      <c r="Y62" s="677"/>
      <c r="Z62" s="678"/>
      <c r="AA62" s="679"/>
      <c r="AB62" s="483"/>
      <c r="AC62" s="598"/>
      <c r="AD62" s="599"/>
      <c r="AE62" s="599"/>
      <c r="AF62" s="599"/>
      <c r="AG62" s="599"/>
      <c r="AH62" s="599"/>
    </row>
    <row r="63" spans="1:34" s="486" customFormat="1" ht="16.149999999999999" customHeight="1" x14ac:dyDescent="0.2">
      <c r="A63" s="482"/>
      <c r="B63" s="483"/>
      <c r="C63" s="483"/>
      <c r="D63" s="363"/>
      <c r="E63" s="364"/>
      <c r="F63" s="364"/>
      <c r="G63" s="365"/>
      <c r="H63" s="563"/>
      <c r="I63" s="676"/>
      <c r="J63" s="677"/>
      <c r="K63" s="678"/>
      <c r="L63" s="679"/>
      <c r="M63" s="563"/>
      <c r="N63" s="676"/>
      <c r="O63" s="677"/>
      <c r="P63" s="678"/>
      <c r="Q63" s="679"/>
      <c r="R63" s="563"/>
      <c r="S63" s="676"/>
      <c r="T63" s="677"/>
      <c r="U63" s="678"/>
      <c r="V63" s="679"/>
      <c r="W63" s="563"/>
      <c r="X63" s="676"/>
      <c r="Y63" s="677"/>
      <c r="Z63" s="678"/>
      <c r="AA63" s="679"/>
      <c r="AB63" s="483"/>
      <c r="AC63" s="598"/>
      <c r="AD63" s="599"/>
      <c r="AE63" s="599"/>
      <c r="AF63" s="599"/>
      <c r="AG63" s="599"/>
      <c r="AH63" s="599"/>
    </row>
    <row r="64" spans="1:34" s="486" customFormat="1" ht="16.149999999999999" customHeight="1" x14ac:dyDescent="0.2">
      <c r="A64" s="482"/>
      <c r="B64" s="483"/>
      <c r="C64" s="483"/>
      <c r="D64" s="373"/>
      <c r="E64" s="374"/>
      <c r="F64" s="374"/>
      <c r="G64" s="375"/>
      <c r="H64" s="563"/>
      <c r="I64" s="676"/>
      <c r="J64" s="677"/>
      <c r="K64" s="678"/>
      <c r="L64" s="679"/>
      <c r="M64" s="563"/>
      <c r="N64" s="676"/>
      <c r="O64" s="677"/>
      <c r="P64" s="678"/>
      <c r="Q64" s="679"/>
      <c r="R64" s="563"/>
      <c r="S64" s="676"/>
      <c r="T64" s="677"/>
      <c r="U64" s="678"/>
      <c r="V64" s="679"/>
      <c r="W64" s="563"/>
      <c r="X64" s="676"/>
      <c r="Y64" s="677"/>
      <c r="Z64" s="678"/>
      <c r="AA64" s="679"/>
      <c r="AB64" s="483"/>
      <c r="AC64" s="598"/>
      <c r="AD64" s="599"/>
      <c r="AE64" s="599"/>
      <c r="AF64" s="599"/>
      <c r="AG64" s="599"/>
      <c r="AH64" s="599"/>
    </row>
    <row r="65" spans="1:34" s="486" customFormat="1" ht="16.149999999999999" customHeight="1" x14ac:dyDescent="0.25">
      <c r="A65" s="482"/>
      <c r="B65" s="483"/>
      <c r="C65" s="483"/>
      <c r="D65" s="820" t="s">
        <v>828</v>
      </c>
      <c r="E65" s="821"/>
      <c r="F65" s="821"/>
      <c r="G65" s="822"/>
      <c r="H65" s="563"/>
      <c r="I65" s="676"/>
      <c r="J65" s="677"/>
      <c r="K65" s="678"/>
      <c r="L65" s="679"/>
      <c r="M65" s="563"/>
      <c r="N65" s="676"/>
      <c r="O65" s="677"/>
      <c r="P65" s="678"/>
      <c r="Q65" s="679"/>
      <c r="R65" s="563"/>
      <c r="S65" s="676"/>
      <c r="T65" s="677"/>
      <c r="U65" s="678"/>
      <c r="V65" s="679"/>
      <c r="W65" s="563"/>
      <c r="X65" s="676"/>
      <c r="Y65" s="677"/>
      <c r="Z65" s="678"/>
      <c r="AA65" s="679"/>
      <c r="AB65" s="483"/>
      <c r="AC65" s="598"/>
      <c r="AD65" s="599"/>
      <c r="AE65" s="599"/>
      <c r="AF65" s="599"/>
      <c r="AG65" s="599"/>
      <c r="AH65" s="599"/>
    </row>
    <row r="66" spans="1:34" s="486" customFormat="1" ht="16.149999999999999" customHeight="1" x14ac:dyDescent="0.2">
      <c r="A66" s="482"/>
      <c r="B66" s="483"/>
      <c r="C66" s="483"/>
      <c r="D66" s="766" t="s">
        <v>829</v>
      </c>
      <c r="E66" s="767"/>
      <c r="F66" s="767"/>
      <c r="G66" s="783"/>
      <c r="H66" s="563"/>
      <c r="I66" s="676"/>
      <c r="J66" s="677"/>
      <c r="K66" s="678"/>
      <c r="L66" s="679"/>
      <c r="M66" s="563"/>
      <c r="N66" s="676"/>
      <c r="O66" s="677"/>
      <c r="P66" s="678"/>
      <c r="Q66" s="679"/>
      <c r="R66" s="563"/>
      <c r="S66" s="676"/>
      <c r="T66" s="677"/>
      <c r="U66" s="678"/>
      <c r="V66" s="679"/>
      <c r="W66" s="563"/>
      <c r="X66" s="676"/>
      <c r="Y66" s="677"/>
      <c r="Z66" s="678"/>
      <c r="AA66" s="679"/>
      <c r="AB66" s="483"/>
      <c r="AC66" s="598"/>
      <c r="AD66" s="599"/>
      <c r="AE66" s="599"/>
      <c r="AF66" s="599"/>
      <c r="AG66" s="599"/>
      <c r="AH66" s="599"/>
    </row>
    <row r="67" spans="1:34" s="486" customFormat="1" ht="16.350000000000001" customHeight="1" x14ac:dyDescent="0.2">
      <c r="A67" s="482"/>
      <c r="B67" s="483"/>
      <c r="C67" s="483"/>
      <c r="D67" s="1074">
        <v>19</v>
      </c>
      <c r="E67" s="1075"/>
      <c r="F67" s="825">
        <v>0</v>
      </c>
      <c r="G67" s="826"/>
      <c r="H67" s="563"/>
      <c r="I67" s="676"/>
      <c r="J67" s="677"/>
      <c r="K67" s="678"/>
      <c r="L67" s="679"/>
      <c r="M67" s="563"/>
      <c r="N67" s="676"/>
      <c r="O67" s="677"/>
      <c r="P67" s="678"/>
      <c r="Q67" s="679"/>
      <c r="R67" s="563"/>
      <c r="S67" s="676"/>
      <c r="T67" s="677"/>
      <c r="U67" s="678"/>
      <c r="V67" s="679"/>
      <c r="W67" s="563"/>
      <c r="X67" s="676"/>
      <c r="Y67" s="677"/>
      <c r="Z67" s="678"/>
      <c r="AA67" s="679"/>
      <c r="AB67" s="483"/>
      <c r="AC67" s="598"/>
      <c r="AD67" s="599"/>
      <c r="AE67" s="599"/>
      <c r="AF67" s="599"/>
      <c r="AG67" s="599"/>
      <c r="AH67" s="599"/>
    </row>
    <row r="68" spans="1:34" ht="16.350000000000001" customHeight="1" x14ac:dyDescent="0.2">
      <c r="A68" s="462"/>
      <c r="B68" s="254"/>
      <c r="C68" s="254"/>
      <c r="D68" s="611">
        <f>G68*D67</f>
        <v>114</v>
      </c>
      <c r="E68" s="564"/>
      <c r="F68" s="572" t="s">
        <v>291</v>
      </c>
      <c r="G68" s="580">
        <v>6</v>
      </c>
      <c r="H68" s="254"/>
      <c r="I68" s="267"/>
      <c r="J68" s="267"/>
      <c r="K68" s="458"/>
      <c r="L68" s="459"/>
      <c r="M68" s="254"/>
      <c r="N68" s="267"/>
      <c r="O68" s="267"/>
      <c r="P68" s="458"/>
      <c r="Q68" s="459"/>
      <c r="R68" s="254"/>
      <c r="S68" s="267"/>
      <c r="T68" s="267"/>
      <c r="U68" s="458"/>
      <c r="V68" s="459"/>
      <c r="W68" s="254"/>
      <c r="X68" s="267"/>
      <c r="Y68" s="267"/>
      <c r="Z68" s="458"/>
      <c r="AA68" s="459"/>
      <c r="AB68" s="254"/>
      <c r="AC68" s="394"/>
      <c r="AD68" s="192"/>
      <c r="AE68" s="192"/>
      <c r="AF68" s="192"/>
      <c r="AG68" s="192"/>
      <c r="AH68" s="192"/>
    </row>
    <row r="69" spans="1:34" ht="27" customHeight="1" x14ac:dyDescent="0.2">
      <c r="A69" s="462"/>
      <c r="B69" s="254"/>
      <c r="C69" s="254"/>
      <c r="D69" s="676"/>
      <c r="E69" s="677"/>
      <c r="F69" s="678"/>
      <c r="G69" s="679"/>
      <c r="H69" s="254"/>
      <c r="I69" s="267"/>
      <c r="J69" s="267"/>
      <c r="K69" s="458"/>
      <c r="L69" s="459"/>
      <c r="M69" s="254"/>
      <c r="N69" s="267"/>
      <c r="O69" s="267"/>
      <c r="P69" s="458"/>
      <c r="Q69" s="459"/>
      <c r="R69" s="254"/>
      <c r="S69" s="267"/>
      <c r="T69" s="267"/>
      <c r="U69" s="458"/>
      <c r="V69" s="459"/>
      <c r="W69" s="254"/>
      <c r="X69" s="267"/>
      <c r="Y69" s="267"/>
      <c r="Z69" s="458"/>
      <c r="AA69" s="459"/>
      <c r="AB69" s="254"/>
      <c r="AC69" s="394"/>
      <c r="AD69" s="192"/>
      <c r="AE69" s="192"/>
      <c r="AF69" s="192"/>
      <c r="AG69" s="192"/>
      <c r="AH69" s="192"/>
    </row>
    <row r="70" spans="1:34" ht="27" customHeight="1" x14ac:dyDescent="0.2">
      <c r="A70" s="462"/>
      <c r="B70" s="254"/>
      <c r="C70" s="254"/>
      <c r="D70" s="863" t="s">
        <v>930</v>
      </c>
      <c r="E70" s="863"/>
      <c r="F70" s="863"/>
      <c r="G70" s="863"/>
      <c r="H70" s="863"/>
      <c r="I70" s="863"/>
      <c r="J70" s="863"/>
      <c r="K70" s="863"/>
      <c r="L70" s="863"/>
      <c r="M70" s="863"/>
      <c r="N70" s="863"/>
      <c r="O70" s="863"/>
      <c r="P70" s="863"/>
      <c r="Q70" s="863"/>
      <c r="R70" s="863"/>
      <c r="S70" s="863"/>
      <c r="T70" s="863"/>
      <c r="U70" s="863"/>
      <c r="V70" s="863"/>
      <c r="W70" s="863"/>
      <c r="X70" s="863"/>
      <c r="Y70" s="863"/>
      <c r="Z70" s="863"/>
      <c r="AA70" s="863"/>
      <c r="AB70" s="254"/>
      <c r="AC70" s="394"/>
      <c r="AD70" s="192"/>
      <c r="AE70" s="192"/>
      <c r="AF70" s="192"/>
      <c r="AG70" s="192"/>
      <c r="AH70" s="192"/>
    </row>
    <row r="71" spans="1:34" ht="27" customHeight="1" x14ac:dyDescent="0.2">
      <c r="A71" s="462"/>
      <c r="B71" s="254"/>
      <c r="C71" s="254"/>
      <c r="D71" s="430"/>
      <c r="E71" s="430"/>
      <c r="F71" s="430"/>
      <c r="G71" s="430"/>
      <c r="H71" s="430"/>
      <c r="I71" s="430"/>
      <c r="J71" s="430"/>
      <c r="K71" s="430"/>
      <c r="L71" s="430"/>
      <c r="M71" s="430"/>
      <c r="N71" s="430"/>
      <c r="O71" s="430"/>
      <c r="P71" s="430"/>
      <c r="Q71" s="430"/>
      <c r="R71" s="430"/>
      <c r="S71" s="430"/>
      <c r="T71" s="430"/>
      <c r="U71" s="430"/>
      <c r="V71" s="430"/>
      <c r="W71" s="430"/>
      <c r="X71" s="430"/>
      <c r="Y71" s="430"/>
      <c r="Z71" s="430"/>
      <c r="AA71" s="430"/>
      <c r="AB71" s="254"/>
      <c r="AC71" s="394"/>
      <c r="AD71" s="192"/>
      <c r="AE71" s="192"/>
      <c r="AF71" s="192"/>
      <c r="AG71" s="192"/>
      <c r="AH71" s="192"/>
    </row>
    <row r="72" spans="1:34" ht="16.350000000000001" customHeight="1" x14ac:dyDescent="0.2">
      <c r="A72" s="462"/>
      <c r="B72" s="254"/>
      <c r="C72" s="254"/>
      <c r="D72" s="360"/>
      <c r="E72" s="361"/>
      <c r="F72" s="361"/>
      <c r="G72" s="362"/>
      <c r="H72" s="254"/>
      <c r="I72" s="360"/>
      <c r="J72" s="361"/>
      <c r="K72" s="361"/>
      <c r="L72" s="362"/>
      <c r="M72" s="254"/>
      <c r="N72" s="360"/>
      <c r="O72" s="361"/>
      <c r="P72" s="361"/>
      <c r="Q72" s="362"/>
      <c r="R72" s="254"/>
      <c r="S72" s="827"/>
      <c r="T72" s="828"/>
      <c r="U72" s="828"/>
      <c r="V72" s="829"/>
      <c r="W72" s="254"/>
      <c r="X72" s="267"/>
      <c r="Y72" s="267"/>
      <c r="Z72" s="458"/>
      <c r="AA72" s="459"/>
      <c r="AB72" s="254"/>
      <c r="AC72" s="394"/>
      <c r="AD72" s="192"/>
      <c r="AE72" s="192"/>
      <c r="AF72" s="192"/>
      <c r="AG72" s="192"/>
      <c r="AH72" s="192"/>
    </row>
    <row r="73" spans="1:34" ht="16.350000000000001" customHeight="1" x14ac:dyDescent="0.2">
      <c r="A73" s="462"/>
      <c r="B73" s="254"/>
      <c r="C73" s="254"/>
      <c r="D73" s="363"/>
      <c r="E73" s="364"/>
      <c r="F73" s="364"/>
      <c r="G73" s="365"/>
      <c r="H73" s="254"/>
      <c r="I73" s="363"/>
      <c r="J73" s="364"/>
      <c r="K73" s="364"/>
      <c r="L73" s="365"/>
      <c r="M73" s="254"/>
      <c r="N73" s="363"/>
      <c r="O73" s="364"/>
      <c r="P73" s="364"/>
      <c r="Q73" s="365"/>
      <c r="R73" s="254"/>
      <c r="S73" s="830"/>
      <c r="T73" s="831"/>
      <c r="U73" s="831"/>
      <c r="V73" s="832"/>
      <c r="W73" s="254"/>
      <c r="X73" s="267"/>
      <c r="Y73" s="267"/>
      <c r="Z73" s="458"/>
      <c r="AA73" s="459"/>
      <c r="AB73" s="254"/>
      <c r="AC73" s="394"/>
      <c r="AD73" s="192"/>
      <c r="AE73" s="192"/>
      <c r="AF73" s="192"/>
      <c r="AG73" s="192"/>
      <c r="AH73" s="192"/>
    </row>
    <row r="74" spans="1:34" ht="16.350000000000001" customHeight="1" x14ac:dyDescent="0.2">
      <c r="A74" s="462"/>
      <c r="B74" s="254"/>
      <c r="C74" s="254"/>
      <c r="D74" s="363"/>
      <c r="E74" s="364"/>
      <c r="F74" s="364"/>
      <c r="G74" s="365"/>
      <c r="H74" s="254"/>
      <c r="I74" s="363"/>
      <c r="J74" s="364"/>
      <c r="K74" s="364"/>
      <c r="L74" s="365"/>
      <c r="M74" s="254"/>
      <c r="N74" s="363"/>
      <c r="O74" s="364"/>
      <c r="P74" s="364"/>
      <c r="Q74" s="365"/>
      <c r="R74" s="254"/>
      <c r="S74" s="830"/>
      <c r="T74" s="831"/>
      <c r="U74" s="831"/>
      <c r="V74" s="832"/>
      <c r="W74" s="254"/>
      <c r="X74" s="267"/>
      <c r="Y74" s="267"/>
      <c r="Z74" s="458"/>
      <c r="AA74" s="459"/>
      <c r="AB74" s="254"/>
      <c r="AC74" s="394"/>
      <c r="AD74" s="192"/>
      <c r="AE74" s="192"/>
      <c r="AF74" s="192"/>
      <c r="AG74" s="192"/>
      <c r="AH74" s="192"/>
    </row>
    <row r="75" spans="1:34" ht="16.350000000000001" customHeight="1" x14ac:dyDescent="0.2">
      <c r="A75" s="462"/>
      <c r="B75" s="254"/>
      <c r="C75" s="254"/>
      <c r="D75" s="363"/>
      <c r="E75" s="364"/>
      <c r="F75" s="364"/>
      <c r="G75" s="365"/>
      <c r="H75" s="254"/>
      <c r="I75" s="363"/>
      <c r="J75" s="364"/>
      <c r="K75" s="364"/>
      <c r="L75" s="365"/>
      <c r="M75" s="254"/>
      <c r="N75" s="363"/>
      <c r="O75" s="364"/>
      <c r="P75" s="364"/>
      <c r="Q75" s="365"/>
      <c r="R75" s="254"/>
      <c r="S75" s="830"/>
      <c r="T75" s="831"/>
      <c r="U75" s="831"/>
      <c r="V75" s="832"/>
      <c r="W75" s="254"/>
      <c r="X75" s="267"/>
      <c r="Y75" s="267"/>
      <c r="Z75" s="458"/>
      <c r="AA75" s="459"/>
      <c r="AB75" s="254"/>
      <c r="AC75" s="394"/>
      <c r="AD75" s="192"/>
      <c r="AE75" s="192"/>
      <c r="AF75" s="192"/>
      <c r="AG75" s="192"/>
      <c r="AH75" s="192"/>
    </row>
    <row r="76" spans="1:34" ht="16.350000000000001" customHeight="1" x14ac:dyDescent="0.2">
      <c r="A76" s="462"/>
      <c r="B76" s="254"/>
      <c r="C76" s="254"/>
      <c r="D76" s="363"/>
      <c r="E76" s="364"/>
      <c r="F76" s="364"/>
      <c r="G76" s="365"/>
      <c r="H76" s="254"/>
      <c r="I76" s="363"/>
      <c r="J76" s="364"/>
      <c r="K76" s="364"/>
      <c r="L76" s="365"/>
      <c r="M76" s="254"/>
      <c r="N76" s="363"/>
      <c r="O76" s="364"/>
      <c r="P76" s="364"/>
      <c r="Q76" s="365"/>
      <c r="R76" s="254"/>
      <c r="S76" s="833"/>
      <c r="T76" s="834"/>
      <c r="U76" s="834"/>
      <c r="V76" s="835"/>
      <c r="W76" s="254"/>
      <c r="X76" s="267"/>
      <c r="Y76" s="267"/>
      <c r="Z76" s="458"/>
      <c r="AA76" s="459"/>
      <c r="AB76" s="254"/>
      <c r="AC76" s="394"/>
      <c r="AD76" s="192"/>
      <c r="AE76" s="192"/>
      <c r="AF76" s="192"/>
      <c r="AG76" s="192"/>
      <c r="AH76" s="192"/>
    </row>
    <row r="77" spans="1:34" ht="16.350000000000001" customHeight="1" x14ac:dyDescent="0.25">
      <c r="A77" s="462"/>
      <c r="B77" s="254"/>
      <c r="C77" s="254"/>
      <c r="D77" s="820" t="s">
        <v>931</v>
      </c>
      <c r="E77" s="821"/>
      <c r="F77" s="821"/>
      <c r="G77" s="822"/>
      <c r="H77" s="254"/>
      <c r="I77" s="820" t="s">
        <v>932</v>
      </c>
      <c r="J77" s="821"/>
      <c r="K77" s="821"/>
      <c r="L77" s="822"/>
      <c r="M77" s="254"/>
      <c r="N77" s="820" t="s">
        <v>933</v>
      </c>
      <c r="O77" s="821"/>
      <c r="P77" s="821"/>
      <c r="Q77" s="822"/>
      <c r="R77" s="254"/>
      <c r="S77" s="820" t="s">
        <v>934</v>
      </c>
      <c r="T77" s="821"/>
      <c r="U77" s="821"/>
      <c r="V77" s="822"/>
      <c r="W77" s="254"/>
      <c r="X77" s="267"/>
      <c r="Y77" s="267"/>
      <c r="Z77" s="458"/>
      <c r="AA77" s="459"/>
      <c r="AB77" s="254"/>
      <c r="AC77" s="394"/>
      <c r="AD77" s="192"/>
      <c r="AE77" s="192"/>
      <c r="AF77" s="192"/>
      <c r="AG77" s="192"/>
      <c r="AH77" s="192"/>
    </row>
    <row r="78" spans="1:34" ht="16.350000000000001" customHeight="1" x14ac:dyDescent="0.2">
      <c r="A78" s="462"/>
      <c r="B78" s="254"/>
      <c r="C78" s="254"/>
      <c r="D78" s="766" t="s">
        <v>292</v>
      </c>
      <c r="E78" s="767"/>
      <c r="F78" s="767"/>
      <c r="G78" s="783"/>
      <c r="H78" s="254"/>
      <c r="I78" s="766" t="s">
        <v>164</v>
      </c>
      <c r="J78" s="767"/>
      <c r="K78" s="767"/>
      <c r="L78" s="783"/>
      <c r="M78" s="254"/>
      <c r="N78" s="766" t="s">
        <v>170</v>
      </c>
      <c r="O78" s="767"/>
      <c r="P78" s="767"/>
      <c r="Q78" s="783"/>
      <c r="R78" s="254"/>
      <c r="S78" s="836" t="s">
        <v>587</v>
      </c>
      <c r="T78" s="837"/>
      <c r="U78" s="837"/>
      <c r="V78" s="838"/>
      <c r="W78" s="254"/>
      <c r="X78" s="267"/>
      <c r="Y78" s="267"/>
      <c r="Z78" s="458"/>
      <c r="AA78" s="459"/>
      <c r="AB78" s="254"/>
      <c r="AC78" s="394"/>
      <c r="AD78" s="192"/>
      <c r="AE78" s="192"/>
      <c r="AF78" s="192"/>
      <c r="AG78" s="192"/>
      <c r="AH78" s="192"/>
    </row>
    <row r="79" spans="1:34" ht="16.350000000000001" customHeight="1" x14ac:dyDescent="0.2">
      <c r="A79" s="462"/>
      <c r="B79" s="254"/>
      <c r="C79" s="254"/>
      <c r="D79" s="823">
        <v>40</v>
      </c>
      <c r="E79" s="824"/>
      <c r="F79" s="912">
        <v>0</v>
      </c>
      <c r="G79" s="913"/>
      <c r="H79" s="254"/>
      <c r="I79" s="823">
        <v>3.5</v>
      </c>
      <c r="J79" s="824"/>
      <c r="K79" s="825">
        <v>0</v>
      </c>
      <c r="L79" s="826"/>
      <c r="M79" s="254"/>
      <c r="N79" s="823">
        <v>3.7</v>
      </c>
      <c r="O79" s="824"/>
      <c r="P79" s="825">
        <v>0</v>
      </c>
      <c r="Q79" s="826"/>
      <c r="R79" s="254"/>
      <c r="S79" s="823">
        <v>3</v>
      </c>
      <c r="T79" s="824"/>
      <c r="U79" s="825">
        <v>0</v>
      </c>
      <c r="V79" s="826"/>
      <c r="W79" s="254"/>
      <c r="X79" s="267"/>
      <c r="Y79" s="267"/>
      <c r="Z79" s="458"/>
      <c r="AA79" s="459"/>
      <c r="AB79" s="254"/>
      <c r="AC79" s="394"/>
      <c r="AD79" s="192"/>
      <c r="AE79" s="192"/>
      <c r="AF79" s="192"/>
      <c r="AG79" s="192"/>
      <c r="AH79" s="192"/>
    </row>
    <row r="80" spans="1:34" ht="16.350000000000001" customHeight="1" x14ac:dyDescent="0.2">
      <c r="A80" s="462"/>
      <c r="B80" s="254"/>
      <c r="C80" s="254"/>
      <c r="D80" s="611">
        <f>G80*D79</f>
        <v>160</v>
      </c>
      <c r="E80" s="578"/>
      <c r="F80" s="579" t="s">
        <v>291</v>
      </c>
      <c r="G80" s="593">
        <v>4</v>
      </c>
      <c r="H80" s="254"/>
      <c r="I80" s="611">
        <f>I79*L80</f>
        <v>52.5</v>
      </c>
      <c r="J80" s="578"/>
      <c r="K80" s="579" t="s">
        <v>291</v>
      </c>
      <c r="L80" s="593">
        <v>15</v>
      </c>
      <c r="M80" s="254"/>
      <c r="N80" s="612">
        <f>Q80*N79</f>
        <v>55.5</v>
      </c>
      <c r="O80" s="600"/>
      <c r="P80" s="601" t="s">
        <v>291</v>
      </c>
      <c r="Q80" s="602">
        <v>15</v>
      </c>
      <c r="R80" s="254"/>
      <c r="S80" s="611">
        <f>V80*S79</f>
        <v>84</v>
      </c>
      <c r="T80" s="578"/>
      <c r="U80" s="579" t="s">
        <v>291</v>
      </c>
      <c r="V80" s="593">
        <v>28</v>
      </c>
      <c r="W80" s="254"/>
      <c r="X80" s="267"/>
      <c r="Y80" s="267"/>
      <c r="Z80" s="458"/>
      <c r="AA80" s="459"/>
      <c r="AB80" s="254"/>
      <c r="AC80" s="394"/>
      <c r="AD80" s="192"/>
      <c r="AE80" s="192"/>
      <c r="AF80" s="192"/>
      <c r="AG80" s="192"/>
      <c r="AH80" s="192"/>
    </row>
    <row r="81" spans="1:34" ht="27" customHeight="1" x14ac:dyDescent="0.2">
      <c r="A81" s="462"/>
      <c r="B81" s="254"/>
      <c r="C81" s="254"/>
      <c r="D81" s="676"/>
      <c r="E81" s="677"/>
      <c r="F81" s="678"/>
      <c r="G81" s="679"/>
      <c r="H81" s="254"/>
      <c r="I81" s="267"/>
      <c r="J81" s="267"/>
      <c r="K81" s="458"/>
      <c r="L81" s="459"/>
      <c r="M81" s="254"/>
      <c r="N81" s="267"/>
      <c r="O81" s="267"/>
      <c r="P81" s="458"/>
      <c r="Q81" s="459"/>
      <c r="R81" s="254"/>
      <c r="S81" s="267"/>
      <c r="T81" s="267"/>
      <c r="U81" s="458"/>
      <c r="V81" s="459"/>
      <c r="W81" s="254"/>
      <c r="X81" s="267"/>
      <c r="Y81" s="267"/>
      <c r="Z81" s="458"/>
      <c r="AA81" s="459"/>
      <c r="AB81" s="254"/>
      <c r="AC81" s="394"/>
      <c r="AD81" s="192"/>
      <c r="AE81" s="192"/>
      <c r="AF81" s="192"/>
      <c r="AG81" s="192"/>
      <c r="AH81" s="192"/>
    </row>
    <row r="82" spans="1:34" s="195" customFormat="1" ht="27" customHeight="1" x14ac:dyDescent="0.3">
      <c r="A82" s="466"/>
      <c r="B82" s="400"/>
      <c r="C82" s="276"/>
      <c r="D82" s="863" t="s">
        <v>554</v>
      </c>
      <c r="E82" s="863"/>
      <c r="F82" s="863"/>
      <c r="G82" s="863"/>
      <c r="H82" s="863"/>
      <c r="I82" s="863"/>
      <c r="J82" s="863"/>
      <c r="K82" s="863"/>
      <c r="L82" s="863"/>
      <c r="M82" s="863"/>
      <c r="N82" s="863"/>
      <c r="O82" s="863"/>
      <c r="P82" s="863"/>
      <c r="Q82" s="863"/>
      <c r="R82" s="863"/>
      <c r="S82" s="863"/>
      <c r="T82" s="863"/>
      <c r="U82" s="863"/>
      <c r="V82" s="863"/>
      <c r="W82" s="863"/>
      <c r="X82" s="863"/>
      <c r="Y82" s="863"/>
      <c r="Z82" s="863"/>
      <c r="AA82" s="863"/>
      <c r="AB82" s="400"/>
      <c r="AC82" s="415"/>
      <c r="AD82" s="196"/>
      <c r="AE82" s="196"/>
      <c r="AF82" s="196"/>
      <c r="AG82" s="196"/>
      <c r="AH82" s="196"/>
    </row>
    <row r="83" spans="1:34" s="196" customFormat="1" ht="27" customHeight="1" x14ac:dyDescent="0.3">
      <c r="A83" s="466"/>
      <c r="B83" s="254"/>
      <c r="C83" s="254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54"/>
      <c r="AC83" s="415"/>
    </row>
    <row r="84" spans="1:34" ht="14.25" x14ac:dyDescent="0.2">
      <c r="A84" s="462"/>
      <c r="B84" s="254"/>
      <c r="C84" s="254"/>
      <c r="D84" s="788"/>
      <c r="E84" s="789"/>
      <c r="F84" s="789"/>
      <c r="G84" s="790"/>
      <c r="H84" s="293"/>
      <c r="I84" s="788"/>
      <c r="J84" s="789"/>
      <c r="K84" s="789"/>
      <c r="L84" s="790"/>
      <c r="M84" s="293"/>
      <c r="N84" s="788"/>
      <c r="O84" s="789"/>
      <c r="P84" s="789"/>
      <c r="Q84" s="790"/>
      <c r="R84" s="293"/>
      <c r="S84" s="788"/>
      <c r="T84" s="789"/>
      <c r="U84" s="789"/>
      <c r="V84" s="790"/>
      <c r="W84" s="293"/>
      <c r="X84" s="788"/>
      <c r="Y84" s="789"/>
      <c r="Z84" s="789"/>
      <c r="AA84" s="790"/>
      <c r="AB84" s="254"/>
    </row>
    <row r="85" spans="1:34" ht="12" customHeight="1" x14ac:dyDescent="0.2">
      <c r="A85" s="462"/>
      <c r="B85" s="254"/>
      <c r="C85" s="254"/>
      <c r="D85" s="791"/>
      <c r="E85" s="792"/>
      <c r="F85" s="792"/>
      <c r="G85" s="793"/>
      <c r="H85" s="293"/>
      <c r="I85" s="791"/>
      <c r="J85" s="792"/>
      <c r="K85" s="792"/>
      <c r="L85" s="793"/>
      <c r="M85" s="293"/>
      <c r="N85" s="791"/>
      <c r="O85" s="792"/>
      <c r="P85" s="792"/>
      <c r="Q85" s="793"/>
      <c r="R85" s="293"/>
      <c r="S85" s="791"/>
      <c r="T85" s="792"/>
      <c r="U85" s="792"/>
      <c r="V85" s="793"/>
      <c r="W85" s="293"/>
      <c r="X85" s="791"/>
      <c r="Y85" s="792"/>
      <c r="Z85" s="792"/>
      <c r="AA85" s="793"/>
      <c r="AB85" s="254"/>
    </row>
    <row r="86" spans="1:34" ht="13.5" customHeight="1" x14ac:dyDescent="0.2">
      <c r="A86" s="462"/>
      <c r="B86" s="254"/>
      <c r="C86" s="254"/>
      <c r="D86" s="316"/>
      <c r="E86" s="317"/>
      <c r="F86" s="317"/>
      <c r="G86" s="318"/>
      <c r="H86" s="293"/>
      <c r="I86" s="316"/>
      <c r="J86" s="317"/>
      <c r="K86" s="317"/>
      <c r="L86" s="318"/>
      <c r="M86" s="293"/>
      <c r="N86" s="316"/>
      <c r="O86" s="317"/>
      <c r="P86" s="317"/>
      <c r="Q86" s="318"/>
      <c r="R86" s="293"/>
      <c r="S86" s="316"/>
      <c r="T86" s="317"/>
      <c r="U86" s="317"/>
      <c r="V86" s="318"/>
      <c r="W86" s="293"/>
      <c r="X86" s="316"/>
      <c r="Y86" s="317"/>
      <c r="Z86" s="317"/>
      <c r="AA86" s="318"/>
      <c r="AB86" s="254"/>
    </row>
    <row r="87" spans="1:34" ht="13.5" customHeight="1" x14ac:dyDescent="0.2">
      <c r="A87" s="462"/>
      <c r="B87" s="254"/>
      <c r="C87" s="254"/>
      <c r="D87" s="791"/>
      <c r="E87" s="792"/>
      <c r="F87" s="792"/>
      <c r="G87" s="793"/>
      <c r="H87" s="293"/>
      <c r="I87" s="791"/>
      <c r="J87" s="792"/>
      <c r="K87" s="792"/>
      <c r="L87" s="793"/>
      <c r="M87" s="293"/>
      <c r="N87" s="791"/>
      <c r="O87" s="792"/>
      <c r="P87" s="792"/>
      <c r="Q87" s="793"/>
      <c r="R87" s="293"/>
      <c r="S87" s="791"/>
      <c r="T87" s="792"/>
      <c r="U87" s="792"/>
      <c r="V87" s="793"/>
      <c r="W87" s="293"/>
      <c r="X87" s="791"/>
      <c r="Y87" s="792"/>
      <c r="Z87" s="792"/>
      <c r="AA87" s="793"/>
      <c r="AB87" s="254"/>
    </row>
    <row r="88" spans="1:34" ht="13.5" customHeight="1" x14ac:dyDescent="0.2">
      <c r="A88" s="462"/>
      <c r="B88" s="254"/>
      <c r="C88" s="254"/>
      <c r="D88" s="791"/>
      <c r="E88" s="792"/>
      <c r="F88" s="792"/>
      <c r="G88" s="793"/>
      <c r="H88" s="293"/>
      <c r="I88" s="791"/>
      <c r="J88" s="792"/>
      <c r="K88" s="792"/>
      <c r="L88" s="793"/>
      <c r="M88" s="293"/>
      <c r="N88" s="791"/>
      <c r="O88" s="792"/>
      <c r="P88" s="792"/>
      <c r="Q88" s="793"/>
      <c r="R88" s="293"/>
      <c r="S88" s="791"/>
      <c r="T88" s="792"/>
      <c r="U88" s="792"/>
      <c r="V88" s="793"/>
      <c r="W88" s="293"/>
      <c r="X88" s="791"/>
      <c r="Y88" s="792"/>
      <c r="Z88" s="792"/>
      <c r="AA88" s="793"/>
      <c r="AB88" s="254"/>
    </row>
    <row r="89" spans="1:34" ht="13.5" customHeight="1" x14ac:dyDescent="0.2">
      <c r="A89" s="462"/>
      <c r="B89" s="254"/>
      <c r="C89" s="254"/>
      <c r="D89" s="1089"/>
      <c r="E89" s="1090"/>
      <c r="F89" s="1090"/>
      <c r="G89" s="1091"/>
      <c r="H89" s="293"/>
      <c r="I89" s="1089"/>
      <c r="J89" s="1090"/>
      <c r="K89" s="1090"/>
      <c r="L89" s="1091"/>
      <c r="M89" s="293"/>
      <c r="N89" s="1089"/>
      <c r="O89" s="1090"/>
      <c r="P89" s="1090"/>
      <c r="Q89" s="1091"/>
      <c r="R89" s="293"/>
      <c r="S89" s="791"/>
      <c r="T89" s="792"/>
      <c r="U89" s="792"/>
      <c r="V89" s="793"/>
      <c r="W89" s="293"/>
      <c r="X89" s="791"/>
      <c r="Y89" s="792"/>
      <c r="Z89" s="792"/>
      <c r="AA89" s="793"/>
      <c r="AB89" s="254"/>
    </row>
    <row r="90" spans="1:34" ht="13.5" customHeight="1" x14ac:dyDescent="0.25">
      <c r="A90" s="462"/>
      <c r="B90" s="254"/>
      <c r="C90" s="254"/>
      <c r="D90" s="900" t="s">
        <v>258</v>
      </c>
      <c r="E90" s="901"/>
      <c r="F90" s="902"/>
      <c r="G90" s="903"/>
      <c r="H90" s="293"/>
      <c r="I90" s="900" t="s">
        <v>259</v>
      </c>
      <c r="J90" s="901"/>
      <c r="K90" s="902"/>
      <c r="L90" s="903"/>
      <c r="M90" s="293"/>
      <c r="N90" s="900" t="s">
        <v>260</v>
      </c>
      <c r="O90" s="901"/>
      <c r="P90" s="902"/>
      <c r="Q90" s="903"/>
      <c r="R90" s="293"/>
      <c r="S90" s="900" t="s">
        <v>261</v>
      </c>
      <c r="T90" s="901"/>
      <c r="U90" s="902"/>
      <c r="V90" s="903"/>
      <c r="W90" s="293"/>
      <c r="X90" s="900" t="s">
        <v>262</v>
      </c>
      <c r="Y90" s="901"/>
      <c r="Z90" s="902"/>
      <c r="AA90" s="903"/>
      <c r="AB90" s="254"/>
    </row>
    <row r="91" spans="1:34" ht="16.149999999999999" customHeight="1" thickBot="1" x14ac:dyDescent="0.3">
      <c r="A91" s="462"/>
      <c r="B91" s="256"/>
      <c r="C91" s="256"/>
      <c r="D91" s="1092">
        <v>0.55000000000000004</v>
      </c>
      <c r="E91" s="1093"/>
      <c r="F91" s="906">
        <v>80</v>
      </c>
      <c r="G91" s="907"/>
      <c r="H91" s="293"/>
      <c r="I91" s="1092">
        <v>0.92</v>
      </c>
      <c r="J91" s="1093"/>
      <c r="K91" s="906">
        <v>44</v>
      </c>
      <c r="L91" s="907"/>
      <c r="M91" s="293"/>
      <c r="N91" s="1092">
        <v>0.95</v>
      </c>
      <c r="O91" s="1093"/>
      <c r="P91" s="906">
        <v>40</v>
      </c>
      <c r="Q91" s="907"/>
      <c r="R91" s="293"/>
      <c r="S91" s="1092">
        <v>0.85</v>
      </c>
      <c r="T91" s="1093"/>
      <c r="U91" s="906">
        <v>6</v>
      </c>
      <c r="V91" s="907"/>
      <c r="W91" s="293"/>
      <c r="X91" s="1092">
        <v>0.5</v>
      </c>
      <c r="Y91" s="1093"/>
      <c r="Z91" s="906">
        <v>4</v>
      </c>
      <c r="AA91" s="907"/>
      <c r="AB91" s="256"/>
    </row>
    <row r="92" spans="1:34" s="486" customFormat="1" ht="16.149999999999999" customHeight="1" x14ac:dyDescent="0.2">
      <c r="A92" s="482"/>
      <c r="B92" s="575"/>
      <c r="C92" s="575"/>
      <c r="D92" s="613">
        <f>D91*G92</f>
        <v>123.75000000000001</v>
      </c>
      <c r="E92" s="560"/>
      <c r="F92" s="561" t="s">
        <v>291</v>
      </c>
      <c r="G92" s="562">
        <v>225</v>
      </c>
      <c r="H92" s="563"/>
      <c r="I92" s="613">
        <f>I91*L92</f>
        <v>138</v>
      </c>
      <c r="J92" s="560"/>
      <c r="K92" s="561" t="s">
        <v>291</v>
      </c>
      <c r="L92" s="562">
        <v>150</v>
      </c>
      <c r="M92" s="563"/>
      <c r="N92" s="613">
        <f>N91*Q92</f>
        <v>57</v>
      </c>
      <c r="O92" s="560"/>
      <c r="P92" s="561" t="s">
        <v>291</v>
      </c>
      <c r="Q92" s="562">
        <v>60</v>
      </c>
      <c r="R92" s="563"/>
      <c r="S92" s="613">
        <f>S91*V92</f>
        <v>127.5</v>
      </c>
      <c r="T92" s="560"/>
      <c r="U92" s="561" t="s">
        <v>291</v>
      </c>
      <c r="V92" s="562">
        <v>150</v>
      </c>
      <c r="W92" s="563"/>
      <c r="X92" s="613">
        <f>X91*AA92</f>
        <v>112.5</v>
      </c>
      <c r="Y92" s="560"/>
      <c r="Z92" s="561" t="s">
        <v>291</v>
      </c>
      <c r="AA92" s="562">
        <v>225</v>
      </c>
      <c r="AB92" s="575"/>
      <c r="AC92" s="485"/>
    </row>
    <row r="93" spans="1:34" s="193" customFormat="1" ht="10.15" customHeight="1" x14ac:dyDescent="0.2">
      <c r="A93" s="465"/>
      <c r="B93" s="254"/>
      <c r="C93" s="254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54"/>
      <c r="AC93" s="395"/>
    </row>
    <row r="94" spans="1:34" s="197" customFormat="1" ht="15" x14ac:dyDescent="0.2">
      <c r="A94" s="467"/>
      <c r="B94" s="254"/>
      <c r="C94" s="254"/>
      <c r="D94" s="803"/>
      <c r="E94" s="804"/>
      <c r="F94" s="804"/>
      <c r="G94" s="805"/>
      <c r="H94" s="293"/>
      <c r="I94" s="788"/>
      <c r="J94" s="789"/>
      <c r="K94" s="789"/>
      <c r="L94" s="790"/>
      <c r="M94" s="293"/>
      <c r="N94" s="788"/>
      <c r="O94" s="789"/>
      <c r="P94" s="789"/>
      <c r="Q94" s="790"/>
      <c r="R94" s="293"/>
      <c r="S94" s="788"/>
      <c r="T94" s="789"/>
      <c r="U94" s="789"/>
      <c r="V94" s="790"/>
      <c r="W94" s="293"/>
      <c r="X94" s="788"/>
      <c r="Y94" s="789"/>
      <c r="Z94" s="789"/>
      <c r="AA94" s="790"/>
      <c r="AB94" s="254"/>
      <c r="AC94" s="416"/>
    </row>
    <row r="95" spans="1:34" ht="13.5" customHeight="1" x14ac:dyDescent="0.2">
      <c r="A95" s="462"/>
      <c r="B95" s="254"/>
      <c r="C95" s="254"/>
      <c r="D95" s="774"/>
      <c r="E95" s="775"/>
      <c r="F95" s="775"/>
      <c r="G95" s="776"/>
      <c r="H95" s="293"/>
      <c r="I95" s="791"/>
      <c r="J95" s="792"/>
      <c r="K95" s="792"/>
      <c r="L95" s="793"/>
      <c r="M95" s="293"/>
      <c r="N95" s="791"/>
      <c r="O95" s="792"/>
      <c r="P95" s="792"/>
      <c r="Q95" s="793"/>
      <c r="R95" s="293"/>
      <c r="S95" s="791"/>
      <c r="T95" s="792"/>
      <c r="U95" s="792"/>
      <c r="V95" s="793"/>
      <c r="W95" s="293"/>
      <c r="X95" s="791"/>
      <c r="Y95" s="792"/>
      <c r="Z95" s="792"/>
      <c r="AA95" s="793"/>
      <c r="AB95" s="254"/>
    </row>
    <row r="96" spans="1:34" ht="14.25" x14ac:dyDescent="0.2">
      <c r="A96" s="462"/>
      <c r="B96" s="254"/>
      <c r="C96" s="254"/>
      <c r="D96" s="334"/>
      <c r="E96" s="335"/>
      <c r="F96" s="335"/>
      <c r="G96" s="336"/>
      <c r="H96" s="293"/>
      <c r="I96" s="316"/>
      <c r="J96" s="317"/>
      <c r="K96" s="317"/>
      <c r="L96" s="318"/>
      <c r="M96" s="293"/>
      <c r="N96" s="316"/>
      <c r="O96" s="317"/>
      <c r="P96" s="317"/>
      <c r="Q96" s="318"/>
      <c r="R96" s="293"/>
      <c r="S96" s="316"/>
      <c r="T96" s="317"/>
      <c r="U96" s="317"/>
      <c r="V96" s="318"/>
      <c r="W96" s="293"/>
      <c r="X96" s="316"/>
      <c r="Y96" s="317"/>
      <c r="Z96" s="317"/>
      <c r="AA96" s="318"/>
      <c r="AB96" s="254"/>
    </row>
    <row r="97" spans="1:29" ht="14.25" x14ac:dyDescent="0.2">
      <c r="A97" s="462"/>
      <c r="B97" s="254"/>
      <c r="C97" s="254"/>
      <c r="D97" s="774"/>
      <c r="E97" s="775"/>
      <c r="F97" s="775"/>
      <c r="G97" s="776"/>
      <c r="H97" s="293"/>
      <c r="I97" s="791"/>
      <c r="J97" s="792"/>
      <c r="K97" s="792"/>
      <c r="L97" s="793"/>
      <c r="M97" s="293"/>
      <c r="N97" s="791"/>
      <c r="O97" s="792"/>
      <c r="P97" s="792"/>
      <c r="Q97" s="793"/>
      <c r="R97" s="293"/>
      <c r="S97" s="791"/>
      <c r="T97" s="792"/>
      <c r="U97" s="792"/>
      <c r="V97" s="793"/>
      <c r="W97" s="293"/>
      <c r="X97" s="791"/>
      <c r="Y97" s="792"/>
      <c r="Z97" s="792"/>
      <c r="AA97" s="793"/>
      <c r="AB97" s="254"/>
    </row>
    <row r="98" spans="1:29" ht="14.25" x14ac:dyDescent="0.2">
      <c r="A98" s="462"/>
      <c r="B98" s="254"/>
      <c r="C98" s="254"/>
      <c r="D98" s="774"/>
      <c r="E98" s="775"/>
      <c r="F98" s="775"/>
      <c r="G98" s="776"/>
      <c r="H98" s="293"/>
      <c r="I98" s="791"/>
      <c r="J98" s="792"/>
      <c r="K98" s="792"/>
      <c r="L98" s="793"/>
      <c r="M98" s="293"/>
      <c r="N98" s="791"/>
      <c r="O98" s="792"/>
      <c r="P98" s="792"/>
      <c r="Q98" s="793"/>
      <c r="R98" s="293"/>
      <c r="S98" s="791"/>
      <c r="T98" s="792"/>
      <c r="U98" s="792"/>
      <c r="V98" s="793"/>
      <c r="W98" s="293"/>
      <c r="X98" s="791"/>
      <c r="Y98" s="792"/>
      <c r="Z98" s="792"/>
      <c r="AA98" s="793"/>
      <c r="AB98" s="254"/>
    </row>
    <row r="99" spans="1:29" ht="14.25" x14ac:dyDescent="0.2">
      <c r="A99" s="462"/>
      <c r="B99" s="254"/>
      <c r="C99" s="254"/>
      <c r="D99" s="774"/>
      <c r="E99" s="775"/>
      <c r="F99" s="775"/>
      <c r="G99" s="776"/>
      <c r="H99" s="293"/>
      <c r="I99" s="791"/>
      <c r="J99" s="792"/>
      <c r="K99" s="792"/>
      <c r="L99" s="793"/>
      <c r="M99" s="293"/>
      <c r="N99" s="791"/>
      <c r="O99" s="792"/>
      <c r="P99" s="792"/>
      <c r="Q99" s="793"/>
      <c r="R99" s="293"/>
      <c r="S99" s="791"/>
      <c r="T99" s="792"/>
      <c r="U99" s="792"/>
      <c r="V99" s="793"/>
      <c r="W99" s="293"/>
      <c r="X99" s="791"/>
      <c r="Y99" s="792"/>
      <c r="Z99" s="792"/>
      <c r="AA99" s="793"/>
      <c r="AB99" s="254"/>
    </row>
    <row r="100" spans="1:29" ht="15" x14ac:dyDescent="0.25">
      <c r="A100" s="462"/>
      <c r="B100" s="254"/>
      <c r="C100" s="254"/>
      <c r="D100" s="900" t="s">
        <v>263</v>
      </c>
      <c r="E100" s="901"/>
      <c r="F100" s="902"/>
      <c r="G100" s="903"/>
      <c r="H100" s="293"/>
      <c r="I100" s="1111" t="s">
        <v>264</v>
      </c>
      <c r="J100" s="1142"/>
      <c r="K100" s="1143"/>
      <c r="L100" s="1144"/>
      <c r="M100" s="293"/>
      <c r="N100" s="1054" t="s">
        <v>265</v>
      </c>
      <c r="O100" s="1055"/>
      <c r="P100" s="1056"/>
      <c r="Q100" s="1057"/>
      <c r="R100" s="293"/>
      <c r="S100" s="1054" t="s">
        <v>266</v>
      </c>
      <c r="T100" s="1055"/>
      <c r="U100" s="1056"/>
      <c r="V100" s="1057"/>
      <c r="W100" s="293"/>
      <c r="X100" s="900" t="s">
        <v>267</v>
      </c>
      <c r="Y100" s="901"/>
      <c r="Z100" s="902"/>
      <c r="AA100" s="903"/>
      <c r="AB100" s="254"/>
    </row>
    <row r="101" spans="1:29" ht="16.149999999999999" customHeight="1" thickBot="1" x14ac:dyDescent="0.25">
      <c r="A101" s="462"/>
      <c r="B101" s="254"/>
      <c r="C101" s="254"/>
      <c r="D101" s="1092">
        <v>0.5</v>
      </c>
      <c r="E101" s="1093"/>
      <c r="F101" s="906">
        <v>4</v>
      </c>
      <c r="G101" s="907"/>
      <c r="H101" s="293"/>
      <c r="I101" s="1092">
        <v>0.95</v>
      </c>
      <c r="J101" s="1093"/>
      <c r="K101" s="906">
        <v>0</v>
      </c>
      <c r="L101" s="907"/>
      <c r="M101" s="293"/>
      <c r="N101" s="1092">
        <v>0.55000000000000004</v>
      </c>
      <c r="O101" s="1093"/>
      <c r="P101" s="906">
        <v>0</v>
      </c>
      <c r="Q101" s="907"/>
      <c r="R101" s="293"/>
      <c r="S101" s="1092">
        <v>0.7</v>
      </c>
      <c r="T101" s="1093"/>
      <c r="U101" s="906">
        <v>0</v>
      </c>
      <c r="V101" s="907"/>
      <c r="W101" s="293"/>
      <c r="X101" s="1092">
        <v>0.9</v>
      </c>
      <c r="Y101" s="1093"/>
      <c r="Z101" s="906">
        <v>0</v>
      </c>
      <c r="AA101" s="907"/>
      <c r="AB101" s="254"/>
    </row>
    <row r="102" spans="1:29" s="486" customFormat="1" ht="16.149999999999999" customHeight="1" x14ac:dyDescent="0.2">
      <c r="A102" s="482"/>
      <c r="B102" s="575"/>
      <c r="C102" s="575"/>
      <c r="D102" s="613">
        <f>D101*G102</f>
        <v>112.5</v>
      </c>
      <c r="E102" s="1101" t="s">
        <v>291</v>
      </c>
      <c r="F102" s="1101"/>
      <c r="G102" s="565">
        <v>225</v>
      </c>
      <c r="H102" s="563"/>
      <c r="I102" s="613">
        <f>I101*L102</f>
        <v>171</v>
      </c>
      <c r="J102" s="1101" t="s">
        <v>291</v>
      </c>
      <c r="K102" s="1101"/>
      <c r="L102" s="565">
        <v>180</v>
      </c>
      <c r="M102" s="563"/>
      <c r="N102" s="613">
        <f>N101*Q102</f>
        <v>82.5</v>
      </c>
      <c r="O102" s="594"/>
      <c r="P102" s="595" t="s">
        <v>291</v>
      </c>
      <c r="Q102" s="565">
        <v>150</v>
      </c>
      <c r="R102" s="563"/>
      <c r="S102" s="613">
        <f>S101*V102</f>
        <v>157.5</v>
      </c>
      <c r="T102" s="594"/>
      <c r="U102" s="595" t="s">
        <v>291</v>
      </c>
      <c r="V102" s="565">
        <v>225</v>
      </c>
      <c r="W102" s="563"/>
      <c r="X102" s="613">
        <f>X101*AA102</f>
        <v>162</v>
      </c>
      <c r="Y102" s="594"/>
      <c r="Z102" s="595" t="s">
        <v>291</v>
      </c>
      <c r="AA102" s="565">
        <v>180</v>
      </c>
      <c r="AB102" s="575"/>
      <c r="AC102" s="485"/>
    </row>
    <row r="103" spans="1:29" ht="10.15" customHeight="1" x14ac:dyDescent="0.2">
      <c r="A103" s="462"/>
      <c r="B103" s="254"/>
      <c r="C103" s="254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54"/>
    </row>
    <row r="104" spans="1:29" s="198" customFormat="1" ht="14.25" x14ac:dyDescent="0.2">
      <c r="A104" s="468"/>
      <c r="B104" s="254"/>
      <c r="C104" s="254"/>
      <c r="D104" s="803"/>
      <c r="E104" s="804"/>
      <c r="F104" s="804"/>
      <c r="G104" s="805"/>
      <c r="H104" s="358"/>
      <c r="I104" s="803"/>
      <c r="J104" s="804"/>
      <c r="K104" s="804"/>
      <c r="L104" s="805"/>
      <c r="M104" s="293"/>
      <c r="N104" s="803"/>
      <c r="O104" s="804"/>
      <c r="P104" s="804"/>
      <c r="Q104" s="805"/>
      <c r="R104" s="358"/>
      <c r="S104" s="803"/>
      <c r="T104" s="804"/>
      <c r="U104" s="804"/>
      <c r="V104" s="805"/>
      <c r="W104" s="293"/>
      <c r="X104" s="803"/>
      <c r="Y104" s="804"/>
      <c r="Z104" s="804"/>
      <c r="AA104" s="805"/>
      <c r="AB104" s="254"/>
      <c r="AC104" s="417"/>
    </row>
    <row r="105" spans="1:29" s="197" customFormat="1" ht="15" x14ac:dyDescent="0.2">
      <c r="A105" s="467"/>
      <c r="B105" s="254"/>
      <c r="C105" s="254"/>
      <c r="D105" s="774"/>
      <c r="E105" s="775"/>
      <c r="F105" s="775"/>
      <c r="G105" s="776"/>
      <c r="H105" s="358"/>
      <c r="I105" s="774"/>
      <c r="J105" s="775"/>
      <c r="K105" s="775"/>
      <c r="L105" s="776"/>
      <c r="M105" s="293"/>
      <c r="N105" s="774"/>
      <c r="O105" s="775"/>
      <c r="P105" s="775"/>
      <c r="Q105" s="776"/>
      <c r="R105" s="358"/>
      <c r="S105" s="774"/>
      <c r="T105" s="775"/>
      <c r="U105" s="775"/>
      <c r="V105" s="776"/>
      <c r="W105" s="293"/>
      <c r="X105" s="774"/>
      <c r="Y105" s="775"/>
      <c r="Z105" s="775"/>
      <c r="AA105" s="776"/>
      <c r="AB105" s="254"/>
      <c r="AC105" s="416"/>
    </row>
    <row r="106" spans="1:29" ht="13.5" customHeight="1" x14ac:dyDescent="0.2">
      <c r="A106" s="462"/>
      <c r="B106" s="254"/>
      <c r="C106" s="254"/>
      <c r="D106" s="632"/>
      <c r="E106" s="633"/>
      <c r="F106" s="633"/>
      <c r="G106" s="634"/>
      <c r="H106" s="358"/>
      <c r="I106" s="334"/>
      <c r="J106" s="335"/>
      <c r="K106" s="335"/>
      <c r="L106" s="336"/>
      <c r="M106" s="293"/>
      <c r="N106" s="334"/>
      <c r="O106" s="335"/>
      <c r="P106" s="335"/>
      <c r="Q106" s="336"/>
      <c r="R106" s="358"/>
      <c r="S106" s="334"/>
      <c r="T106" s="335"/>
      <c r="U106" s="335"/>
      <c r="V106" s="336"/>
      <c r="W106" s="293"/>
      <c r="X106" s="334"/>
      <c r="Y106" s="335"/>
      <c r="Z106" s="335"/>
      <c r="AA106" s="336"/>
      <c r="AB106" s="254"/>
    </row>
    <row r="107" spans="1:29" ht="14.25" x14ac:dyDescent="0.2">
      <c r="A107" s="462"/>
      <c r="B107" s="254"/>
      <c r="C107" s="254"/>
      <c r="D107" s="632"/>
      <c r="E107" s="633"/>
      <c r="F107" s="633"/>
      <c r="G107" s="634"/>
      <c r="H107" s="358"/>
      <c r="I107" s="334"/>
      <c r="J107" s="335"/>
      <c r="K107" s="335"/>
      <c r="L107" s="336"/>
      <c r="M107" s="293"/>
      <c r="N107" s="334"/>
      <c r="O107" s="335"/>
      <c r="P107" s="335"/>
      <c r="Q107" s="336"/>
      <c r="R107" s="358"/>
      <c r="S107" s="334"/>
      <c r="T107" s="335"/>
      <c r="U107" s="335"/>
      <c r="V107" s="336"/>
      <c r="W107" s="293"/>
      <c r="X107" s="334"/>
      <c r="Y107" s="335"/>
      <c r="Z107" s="335"/>
      <c r="AA107" s="336"/>
      <c r="AB107" s="254"/>
    </row>
    <row r="108" spans="1:29" ht="14.25" x14ac:dyDescent="0.2">
      <c r="A108" s="462"/>
      <c r="B108" s="254"/>
      <c r="C108" s="254"/>
      <c r="D108" s="774"/>
      <c r="E108" s="775"/>
      <c r="F108" s="775"/>
      <c r="G108" s="776"/>
      <c r="H108" s="358"/>
      <c r="I108" s="774"/>
      <c r="J108" s="775"/>
      <c r="K108" s="775"/>
      <c r="L108" s="776"/>
      <c r="M108" s="293"/>
      <c r="N108" s="774"/>
      <c r="O108" s="775"/>
      <c r="P108" s="775"/>
      <c r="Q108" s="776"/>
      <c r="R108" s="358"/>
      <c r="S108" s="774"/>
      <c r="T108" s="775"/>
      <c r="U108" s="775"/>
      <c r="V108" s="776"/>
      <c r="W108" s="293"/>
      <c r="X108" s="774"/>
      <c r="Y108" s="775"/>
      <c r="Z108" s="775"/>
      <c r="AA108" s="776"/>
      <c r="AB108" s="254"/>
    </row>
    <row r="109" spans="1:29" ht="14.25" x14ac:dyDescent="0.2">
      <c r="A109" s="462"/>
      <c r="B109" s="254"/>
      <c r="C109" s="254"/>
      <c r="D109" s="1105"/>
      <c r="E109" s="1106"/>
      <c r="F109" s="1106"/>
      <c r="G109" s="1107"/>
      <c r="H109" s="358"/>
      <c r="I109" s="774"/>
      <c r="J109" s="775"/>
      <c r="K109" s="775"/>
      <c r="L109" s="776"/>
      <c r="M109" s="293"/>
      <c r="N109" s="1105"/>
      <c r="O109" s="1106"/>
      <c r="P109" s="1106"/>
      <c r="Q109" s="1107"/>
      <c r="R109" s="358"/>
      <c r="S109" s="774"/>
      <c r="T109" s="775"/>
      <c r="U109" s="775"/>
      <c r="V109" s="776"/>
      <c r="W109" s="293"/>
      <c r="X109" s="774"/>
      <c r="Y109" s="775"/>
      <c r="Z109" s="775"/>
      <c r="AA109" s="776"/>
      <c r="AB109" s="254"/>
    </row>
    <row r="110" spans="1:29" ht="15" x14ac:dyDescent="0.25">
      <c r="A110" s="462"/>
      <c r="B110" s="263"/>
      <c r="C110" s="263"/>
      <c r="D110" s="1058" t="s">
        <v>268</v>
      </c>
      <c r="E110" s="1059"/>
      <c r="F110" s="1060"/>
      <c r="G110" s="1061"/>
      <c r="H110" s="293"/>
      <c r="I110" s="1111" t="s">
        <v>269</v>
      </c>
      <c r="J110" s="1112"/>
      <c r="K110" s="1113"/>
      <c r="L110" s="1114"/>
      <c r="M110" s="293"/>
      <c r="N110" s="900" t="s">
        <v>270</v>
      </c>
      <c r="O110" s="901"/>
      <c r="P110" s="902"/>
      <c r="Q110" s="903"/>
      <c r="R110" s="293"/>
      <c r="S110" s="900" t="s">
        <v>271</v>
      </c>
      <c r="T110" s="901"/>
      <c r="U110" s="902"/>
      <c r="V110" s="903"/>
      <c r="W110" s="293"/>
      <c r="X110" s="900" t="s">
        <v>272</v>
      </c>
      <c r="Y110" s="901"/>
      <c r="Z110" s="902"/>
      <c r="AA110" s="903"/>
      <c r="AB110" s="254"/>
    </row>
    <row r="111" spans="1:29" ht="16.149999999999999" customHeight="1" thickBot="1" x14ac:dyDescent="0.25">
      <c r="A111" s="462"/>
      <c r="B111" s="254"/>
      <c r="C111" s="254"/>
      <c r="D111" s="1035">
        <v>0.9</v>
      </c>
      <c r="E111" s="1036"/>
      <c r="F111" s="906">
        <v>0</v>
      </c>
      <c r="G111" s="907"/>
      <c r="H111" s="293"/>
      <c r="I111" s="1035">
        <v>0.75</v>
      </c>
      <c r="J111" s="1036"/>
      <c r="K111" s="906">
        <v>0</v>
      </c>
      <c r="L111" s="907"/>
      <c r="M111" s="293"/>
      <c r="N111" s="1035">
        <v>0.69</v>
      </c>
      <c r="O111" s="1036"/>
      <c r="P111" s="906">
        <v>0</v>
      </c>
      <c r="Q111" s="907"/>
      <c r="R111" s="293"/>
      <c r="S111" s="1035">
        <v>0.8</v>
      </c>
      <c r="T111" s="1036"/>
      <c r="U111" s="906">
        <v>0</v>
      </c>
      <c r="V111" s="907"/>
      <c r="W111" s="293"/>
      <c r="X111" s="1035">
        <v>0.75</v>
      </c>
      <c r="Y111" s="1036"/>
      <c r="Z111" s="906">
        <v>0</v>
      </c>
      <c r="AA111" s="907"/>
      <c r="AB111" s="254"/>
    </row>
    <row r="112" spans="1:29" s="486" customFormat="1" ht="16.149999999999999" customHeight="1" x14ac:dyDescent="0.2">
      <c r="A112" s="482"/>
      <c r="B112" s="575"/>
      <c r="C112" s="575"/>
      <c r="D112" s="613">
        <f>D111*G112</f>
        <v>220.5</v>
      </c>
      <c r="E112" s="594"/>
      <c r="F112" s="595" t="s">
        <v>291</v>
      </c>
      <c r="G112" s="565">
        <v>245</v>
      </c>
      <c r="H112" s="563"/>
      <c r="I112" s="613">
        <f>I111*L112</f>
        <v>135</v>
      </c>
      <c r="J112" s="594"/>
      <c r="K112" s="595" t="s">
        <v>291</v>
      </c>
      <c r="L112" s="565">
        <v>180</v>
      </c>
      <c r="M112" s="563"/>
      <c r="N112" s="613">
        <f>N111*Q112</f>
        <v>155.25</v>
      </c>
      <c r="O112" s="594"/>
      <c r="P112" s="595" t="s">
        <v>291</v>
      </c>
      <c r="Q112" s="565">
        <v>225</v>
      </c>
      <c r="R112" s="563"/>
      <c r="S112" s="613">
        <f>S111*V112</f>
        <v>192</v>
      </c>
      <c r="T112" s="594"/>
      <c r="U112" s="595" t="s">
        <v>291</v>
      </c>
      <c r="V112" s="565">
        <v>240</v>
      </c>
      <c r="W112" s="563"/>
      <c r="X112" s="613">
        <f>X111*AA112</f>
        <v>225</v>
      </c>
      <c r="Y112" s="594"/>
      <c r="Z112" s="595" t="s">
        <v>291</v>
      </c>
      <c r="AA112" s="565">
        <v>300</v>
      </c>
      <c r="AB112" s="575"/>
      <c r="AC112" s="485"/>
    </row>
    <row r="113" spans="1:29" ht="10.15" customHeight="1" x14ac:dyDescent="0.2">
      <c r="A113" s="462"/>
      <c r="B113" s="254"/>
      <c r="C113" s="254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54"/>
    </row>
    <row r="114" spans="1:29" s="193" customFormat="1" ht="14.25" x14ac:dyDescent="0.2">
      <c r="A114" s="465"/>
      <c r="B114" s="254"/>
      <c r="C114" s="254"/>
      <c r="D114" s="803"/>
      <c r="E114" s="804"/>
      <c r="F114" s="804"/>
      <c r="G114" s="805"/>
      <c r="H114" s="293"/>
      <c r="I114" s="788"/>
      <c r="J114" s="789"/>
      <c r="K114" s="789"/>
      <c r="L114" s="790"/>
      <c r="M114" s="293"/>
      <c r="N114" s="788"/>
      <c r="O114" s="789"/>
      <c r="P114" s="789"/>
      <c r="Q114" s="790"/>
      <c r="R114" s="293"/>
      <c r="S114" s="788"/>
      <c r="T114" s="789"/>
      <c r="U114" s="789"/>
      <c r="V114" s="790"/>
      <c r="W114" s="293"/>
      <c r="X114" s="788"/>
      <c r="Y114" s="789"/>
      <c r="Z114" s="789"/>
      <c r="AA114" s="790"/>
      <c r="AB114" s="254"/>
      <c r="AC114" s="395"/>
    </row>
    <row r="115" spans="1:29" s="197" customFormat="1" ht="15" x14ac:dyDescent="0.2">
      <c r="A115" s="467"/>
      <c r="B115" s="254"/>
      <c r="C115" s="254"/>
      <c r="D115" s="774"/>
      <c r="E115" s="775"/>
      <c r="F115" s="775"/>
      <c r="G115" s="776"/>
      <c r="H115" s="293"/>
      <c r="I115" s="791"/>
      <c r="J115" s="792"/>
      <c r="K115" s="792"/>
      <c r="L115" s="793"/>
      <c r="M115" s="293"/>
      <c r="N115" s="791"/>
      <c r="O115" s="792"/>
      <c r="P115" s="792"/>
      <c r="Q115" s="793"/>
      <c r="R115" s="293"/>
      <c r="S115" s="791"/>
      <c r="T115" s="792"/>
      <c r="U115" s="792"/>
      <c r="V115" s="793"/>
      <c r="W115" s="293"/>
      <c r="X115" s="791"/>
      <c r="Y115" s="792"/>
      <c r="Z115" s="792"/>
      <c r="AA115" s="793"/>
      <c r="AB115" s="254"/>
      <c r="AC115" s="416"/>
    </row>
    <row r="116" spans="1:29" ht="14.25" x14ac:dyDescent="0.2">
      <c r="A116" s="462"/>
      <c r="B116" s="254"/>
      <c r="C116" s="254"/>
      <c r="D116" s="632"/>
      <c r="E116" s="633"/>
      <c r="F116" s="633"/>
      <c r="G116" s="634"/>
      <c r="H116" s="293"/>
      <c r="I116" s="316"/>
      <c r="J116" s="317"/>
      <c r="K116" s="317"/>
      <c r="L116" s="318"/>
      <c r="M116" s="293"/>
      <c r="N116" s="316"/>
      <c r="O116" s="317"/>
      <c r="P116" s="317"/>
      <c r="Q116" s="318"/>
      <c r="R116" s="293"/>
      <c r="S116" s="316"/>
      <c r="T116" s="317"/>
      <c r="U116" s="317"/>
      <c r="V116" s="318"/>
      <c r="W116" s="293"/>
      <c r="X116" s="316"/>
      <c r="Y116" s="317"/>
      <c r="Z116" s="317"/>
      <c r="AA116" s="318"/>
      <c r="AB116" s="254"/>
    </row>
    <row r="117" spans="1:29" ht="14.25" x14ac:dyDescent="0.2">
      <c r="A117" s="462"/>
      <c r="B117" s="254"/>
      <c r="C117" s="254"/>
      <c r="D117" s="774"/>
      <c r="E117" s="775"/>
      <c r="F117" s="775"/>
      <c r="G117" s="776"/>
      <c r="H117" s="293"/>
      <c r="I117" s="791"/>
      <c r="J117" s="792"/>
      <c r="K117" s="792"/>
      <c r="L117" s="793"/>
      <c r="M117" s="293"/>
      <c r="N117" s="791"/>
      <c r="O117" s="792"/>
      <c r="P117" s="792"/>
      <c r="Q117" s="793"/>
      <c r="R117" s="293"/>
      <c r="S117" s="791"/>
      <c r="T117" s="792"/>
      <c r="U117" s="792"/>
      <c r="V117" s="793"/>
      <c r="W117" s="293"/>
      <c r="X117" s="791"/>
      <c r="Y117" s="792"/>
      <c r="Z117" s="792"/>
      <c r="AA117" s="793"/>
      <c r="AB117" s="254"/>
    </row>
    <row r="118" spans="1:29" ht="14.25" x14ac:dyDescent="0.2">
      <c r="A118" s="462"/>
      <c r="B118" s="254"/>
      <c r="C118" s="254"/>
      <c r="D118" s="774"/>
      <c r="E118" s="775"/>
      <c r="F118" s="775"/>
      <c r="G118" s="776"/>
      <c r="H118" s="293"/>
      <c r="I118" s="791"/>
      <c r="J118" s="792"/>
      <c r="K118" s="792"/>
      <c r="L118" s="793"/>
      <c r="M118" s="293"/>
      <c r="N118" s="791"/>
      <c r="O118" s="792"/>
      <c r="P118" s="792"/>
      <c r="Q118" s="793"/>
      <c r="R118" s="293"/>
      <c r="S118" s="791"/>
      <c r="T118" s="792"/>
      <c r="U118" s="792"/>
      <c r="V118" s="793"/>
      <c r="W118" s="293"/>
      <c r="X118" s="791"/>
      <c r="Y118" s="792"/>
      <c r="Z118" s="792"/>
      <c r="AA118" s="793"/>
      <c r="AB118" s="254"/>
    </row>
    <row r="119" spans="1:29" ht="14.25" x14ac:dyDescent="0.2">
      <c r="A119" s="462"/>
      <c r="B119" s="254"/>
      <c r="C119" s="254"/>
      <c r="D119" s="1105"/>
      <c r="E119" s="1106"/>
      <c r="F119" s="1106"/>
      <c r="G119" s="1107"/>
      <c r="H119" s="293"/>
      <c r="I119" s="1089"/>
      <c r="J119" s="1090"/>
      <c r="K119" s="1090"/>
      <c r="L119" s="1091"/>
      <c r="M119" s="293"/>
      <c r="N119" s="1089"/>
      <c r="O119" s="1090"/>
      <c r="P119" s="1090"/>
      <c r="Q119" s="1091"/>
      <c r="R119" s="293"/>
      <c r="S119" s="1089"/>
      <c r="T119" s="1090"/>
      <c r="U119" s="1090"/>
      <c r="V119" s="1091"/>
      <c r="W119" s="293"/>
      <c r="X119" s="1089"/>
      <c r="Y119" s="1090"/>
      <c r="Z119" s="1090"/>
      <c r="AA119" s="1091"/>
      <c r="AB119" s="254"/>
    </row>
    <row r="120" spans="1:29" ht="15" x14ac:dyDescent="0.25">
      <c r="A120" s="462"/>
      <c r="B120" s="254"/>
      <c r="C120" s="254"/>
      <c r="D120" s="1058" t="s">
        <v>273</v>
      </c>
      <c r="E120" s="1059"/>
      <c r="F120" s="1060"/>
      <c r="G120" s="1061"/>
      <c r="H120" s="293"/>
      <c r="I120" s="1058" t="s">
        <v>274</v>
      </c>
      <c r="J120" s="1059"/>
      <c r="K120" s="1060"/>
      <c r="L120" s="1061"/>
      <c r="M120" s="293"/>
      <c r="N120" s="900" t="s">
        <v>275</v>
      </c>
      <c r="O120" s="901"/>
      <c r="P120" s="902"/>
      <c r="Q120" s="903"/>
      <c r="R120" s="293"/>
      <c r="S120" s="1111" t="s">
        <v>834</v>
      </c>
      <c r="T120" s="1112"/>
      <c r="U120" s="1113"/>
      <c r="V120" s="1114"/>
      <c r="W120" s="293"/>
      <c r="X120" s="900" t="s">
        <v>833</v>
      </c>
      <c r="Y120" s="901"/>
      <c r="Z120" s="902"/>
      <c r="AA120" s="903"/>
      <c r="AB120" s="254"/>
    </row>
    <row r="121" spans="1:29" ht="16.149999999999999" customHeight="1" thickBot="1" x14ac:dyDescent="0.25">
      <c r="A121" s="462"/>
      <c r="B121" s="254"/>
      <c r="C121" s="254"/>
      <c r="D121" s="910">
        <v>0.75</v>
      </c>
      <c r="E121" s="911"/>
      <c r="F121" s="1000">
        <v>0</v>
      </c>
      <c r="G121" s="1001"/>
      <c r="H121" s="293"/>
      <c r="I121" s="908">
        <v>0.7</v>
      </c>
      <c r="J121" s="909"/>
      <c r="K121" s="1000">
        <v>0</v>
      </c>
      <c r="L121" s="1001"/>
      <c r="M121" s="293"/>
      <c r="N121" s="1092">
        <v>0.7</v>
      </c>
      <c r="O121" s="1093"/>
      <c r="P121" s="906">
        <v>0</v>
      </c>
      <c r="Q121" s="907"/>
      <c r="R121" s="293"/>
      <c r="S121" s="1092">
        <v>0.8</v>
      </c>
      <c r="T121" s="1093"/>
      <c r="U121" s="906">
        <v>0</v>
      </c>
      <c r="V121" s="907"/>
      <c r="W121" s="293"/>
      <c r="X121" s="1092">
        <v>0.95</v>
      </c>
      <c r="Y121" s="1093"/>
      <c r="Z121" s="906">
        <v>0</v>
      </c>
      <c r="AA121" s="907"/>
      <c r="AB121" s="254"/>
    </row>
    <row r="122" spans="1:29" s="486" customFormat="1" ht="16.149999999999999" customHeight="1" x14ac:dyDescent="0.2">
      <c r="A122" s="482"/>
      <c r="B122" s="575"/>
      <c r="C122" s="575"/>
      <c r="D122" s="613">
        <f>D121*G122</f>
        <v>225</v>
      </c>
      <c r="E122" s="594"/>
      <c r="F122" s="595" t="s">
        <v>291</v>
      </c>
      <c r="G122" s="565">
        <v>300</v>
      </c>
      <c r="H122" s="563"/>
      <c r="I122" s="613">
        <f>I121*L122</f>
        <v>101.5</v>
      </c>
      <c r="J122" s="560"/>
      <c r="K122" s="561" t="s">
        <v>291</v>
      </c>
      <c r="L122" s="562">
        <v>145</v>
      </c>
      <c r="M122" s="563"/>
      <c r="N122" s="613">
        <f>N121*Q122</f>
        <v>101.5</v>
      </c>
      <c r="O122" s="560"/>
      <c r="P122" s="561" t="s">
        <v>291</v>
      </c>
      <c r="Q122" s="562">
        <v>145</v>
      </c>
      <c r="R122" s="563"/>
      <c r="S122" s="613">
        <f>S121*V122</f>
        <v>96</v>
      </c>
      <c r="T122" s="560"/>
      <c r="U122" s="561" t="s">
        <v>291</v>
      </c>
      <c r="V122" s="565">
        <v>120</v>
      </c>
      <c r="W122" s="563"/>
      <c r="X122" s="613">
        <f>X121*AA122</f>
        <v>142.5</v>
      </c>
      <c r="Y122" s="560"/>
      <c r="Z122" s="561" t="s">
        <v>291</v>
      </c>
      <c r="AA122" s="565">
        <v>150</v>
      </c>
      <c r="AB122" s="575"/>
      <c r="AC122" s="485"/>
    </row>
    <row r="123" spans="1:29" ht="10.15" customHeight="1" x14ac:dyDescent="0.2">
      <c r="A123" s="462"/>
      <c r="B123" s="254"/>
      <c r="C123" s="254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54"/>
    </row>
    <row r="124" spans="1:29" ht="14.25" x14ac:dyDescent="0.2">
      <c r="A124" s="462"/>
      <c r="B124" s="254"/>
      <c r="C124" s="254"/>
      <c r="D124" s="1115"/>
      <c r="E124" s="1116"/>
      <c r="F124" s="1116"/>
      <c r="G124" s="1117"/>
      <c r="H124" s="293"/>
      <c r="I124" s="1115"/>
      <c r="J124" s="1116"/>
      <c r="K124" s="1116"/>
      <c r="L124" s="1117"/>
      <c r="M124" s="293"/>
      <c r="N124" s="683"/>
      <c r="O124" s="684"/>
      <c r="P124" s="684"/>
      <c r="Q124" s="685"/>
      <c r="R124" s="293"/>
      <c r="S124" s="814"/>
      <c r="T124" s="814"/>
      <c r="U124" s="814"/>
      <c r="V124" s="814"/>
      <c r="W124" s="293"/>
      <c r="X124" s="814"/>
      <c r="Y124" s="814"/>
      <c r="Z124" s="814"/>
      <c r="AA124" s="814"/>
      <c r="AB124" s="254"/>
    </row>
    <row r="125" spans="1:29" ht="14.25" x14ac:dyDescent="0.2">
      <c r="A125" s="462"/>
      <c r="B125" s="254"/>
      <c r="C125" s="254"/>
      <c r="D125" s="1118"/>
      <c r="E125" s="1119"/>
      <c r="F125" s="1119"/>
      <c r="G125" s="1120"/>
      <c r="H125" s="293"/>
      <c r="I125" s="1118"/>
      <c r="J125" s="1119"/>
      <c r="K125" s="1119"/>
      <c r="L125" s="1120"/>
      <c r="M125" s="293"/>
      <c r="N125" s="686"/>
      <c r="O125" s="681"/>
      <c r="P125" s="681"/>
      <c r="Q125" s="687"/>
      <c r="R125" s="293"/>
      <c r="S125" s="814"/>
      <c r="T125" s="814"/>
      <c r="U125" s="814"/>
      <c r="V125" s="814"/>
      <c r="W125" s="293"/>
      <c r="X125" s="814"/>
      <c r="Y125" s="814"/>
      <c r="Z125" s="814"/>
      <c r="AA125" s="814"/>
      <c r="AB125" s="254"/>
    </row>
    <row r="126" spans="1:29" ht="14.25" x14ac:dyDescent="0.2">
      <c r="A126" s="462"/>
      <c r="B126" s="254"/>
      <c r="C126" s="254"/>
      <c r="D126" s="1118"/>
      <c r="E126" s="1119"/>
      <c r="F126" s="1119"/>
      <c r="G126" s="1120"/>
      <c r="H126" s="293"/>
      <c r="I126" s="1118"/>
      <c r="J126" s="1119"/>
      <c r="K126" s="1119"/>
      <c r="L126" s="1120"/>
      <c r="M126" s="293"/>
      <c r="N126" s="688"/>
      <c r="O126" s="682"/>
      <c r="P126" s="682"/>
      <c r="Q126" s="689"/>
      <c r="R126" s="293"/>
      <c r="S126" s="814"/>
      <c r="T126" s="814"/>
      <c r="U126" s="814"/>
      <c r="V126" s="814"/>
      <c r="W126" s="293"/>
      <c r="X126" s="814"/>
      <c r="Y126" s="814"/>
      <c r="Z126" s="814"/>
      <c r="AA126" s="814"/>
      <c r="AB126" s="254"/>
    </row>
    <row r="127" spans="1:29" ht="12" customHeight="1" x14ac:dyDescent="0.2">
      <c r="A127" s="462"/>
      <c r="B127" s="254"/>
      <c r="C127" s="254"/>
      <c r="D127" s="1118"/>
      <c r="E127" s="1119"/>
      <c r="F127" s="1119"/>
      <c r="G127" s="1120"/>
      <c r="H127" s="293"/>
      <c r="I127" s="1118"/>
      <c r="J127" s="1119"/>
      <c r="K127" s="1119"/>
      <c r="L127" s="1120"/>
      <c r="M127" s="293"/>
      <c r="N127" s="686"/>
      <c r="O127" s="681"/>
      <c r="P127" s="681"/>
      <c r="Q127" s="687"/>
      <c r="R127" s="293"/>
      <c r="S127" s="322"/>
      <c r="T127" s="322"/>
      <c r="U127" s="322"/>
      <c r="V127" s="322"/>
      <c r="W127" s="293"/>
      <c r="X127" s="322"/>
      <c r="Y127" s="322"/>
      <c r="Z127" s="322"/>
      <c r="AA127" s="322"/>
      <c r="AB127" s="254"/>
    </row>
    <row r="128" spans="1:29" ht="14.25" x14ac:dyDescent="0.2">
      <c r="A128" s="462"/>
      <c r="B128" s="254"/>
      <c r="C128" s="254"/>
      <c r="D128" s="1118"/>
      <c r="E128" s="1119"/>
      <c r="F128" s="1119"/>
      <c r="G128" s="1120"/>
      <c r="H128" s="293"/>
      <c r="I128" s="1118"/>
      <c r="J128" s="1119"/>
      <c r="K128" s="1119"/>
      <c r="L128" s="1120"/>
      <c r="M128" s="293"/>
      <c r="N128" s="686"/>
      <c r="O128" s="681"/>
      <c r="P128" s="681"/>
      <c r="Q128" s="687"/>
      <c r="R128" s="293"/>
      <c r="S128" s="814"/>
      <c r="T128" s="814"/>
      <c r="U128" s="814"/>
      <c r="V128" s="814"/>
      <c r="W128" s="293"/>
      <c r="X128" s="814"/>
      <c r="Y128" s="814"/>
      <c r="Z128" s="814"/>
      <c r="AA128" s="814"/>
      <c r="AB128" s="254"/>
    </row>
    <row r="129" spans="1:29" ht="14.25" x14ac:dyDescent="0.2">
      <c r="A129" s="462"/>
      <c r="B129" s="254"/>
      <c r="C129" s="254"/>
      <c r="D129" s="1121"/>
      <c r="E129" s="1122"/>
      <c r="F129" s="1122"/>
      <c r="G129" s="1123"/>
      <c r="H129" s="293"/>
      <c r="I129" s="1121"/>
      <c r="J129" s="1122"/>
      <c r="K129" s="1122"/>
      <c r="L129" s="1123"/>
      <c r="M129" s="293"/>
      <c r="N129" s="690"/>
      <c r="O129" s="691"/>
      <c r="P129" s="691"/>
      <c r="Q129" s="692"/>
      <c r="R129" s="293"/>
      <c r="S129" s="814"/>
      <c r="T129" s="814"/>
      <c r="U129" s="814"/>
      <c r="V129" s="814"/>
      <c r="W129" s="293"/>
      <c r="X129" s="814"/>
      <c r="Y129" s="814"/>
      <c r="Z129" s="814"/>
      <c r="AA129" s="814"/>
      <c r="AB129" s="254"/>
    </row>
    <row r="130" spans="1:29" ht="15" x14ac:dyDescent="0.25">
      <c r="A130" s="462"/>
      <c r="B130" s="254"/>
      <c r="C130" s="254"/>
      <c r="D130" s="900" t="s">
        <v>276</v>
      </c>
      <c r="E130" s="901"/>
      <c r="F130" s="902"/>
      <c r="G130" s="903"/>
      <c r="H130" s="293"/>
      <c r="I130" s="900" t="s">
        <v>256</v>
      </c>
      <c r="J130" s="901"/>
      <c r="K130" s="902"/>
      <c r="L130" s="903"/>
      <c r="M130" s="293"/>
      <c r="N130" s="900" t="s">
        <v>257</v>
      </c>
      <c r="O130" s="901"/>
      <c r="P130" s="902"/>
      <c r="Q130" s="903"/>
      <c r="R130" s="293"/>
      <c r="S130" s="959"/>
      <c r="T130" s="959"/>
      <c r="U130" s="959"/>
      <c r="V130" s="959"/>
      <c r="W130" s="293"/>
      <c r="X130" s="959"/>
      <c r="Y130" s="959"/>
      <c r="Z130" s="959"/>
      <c r="AA130" s="959"/>
      <c r="AB130" s="254"/>
    </row>
    <row r="131" spans="1:29" s="199" customFormat="1" ht="16.149999999999999" customHeight="1" thickBot="1" x14ac:dyDescent="0.25">
      <c r="A131" s="469"/>
      <c r="B131" s="254"/>
      <c r="C131" s="254"/>
      <c r="D131" s="1092">
        <v>0.9</v>
      </c>
      <c r="E131" s="1093"/>
      <c r="F131" s="906">
        <v>0</v>
      </c>
      <c r="G131" s="907"/>
      <c r="H131" s="293"/>
      <c r="I131" s="1035">
        <v>1.65</v>
      </c>
      <c r="J131" s="1036"/>
      <c r="K131" s="906">
        <v>0</v>
      </c>
      <c r="L131" s="907"/>
      <c r="M131" s="293"/>
      <c r="N131" s="1092">
        <v>1.65</v>
      </c>
      <c r="O131" s="1093"/>
      <c r="P131" s="906">
        <v>0</v>
      </c>
      <c r="Q131" s="907"/>
      <c r="R131" s="293"/>
      <c r="S131" s="817"/>
      <c r="T131" s="817"/>
      <c r="U131" s="951"/>
      <c r="V131" s="951"/>
      <c r="W131" s="293"/>
      <c r="X131" s="817"/>
      <c r="Y131" s="817"/>
      <c r="Z131" s="951"/>
      <c r="AA131" s="951"/>
      <c r="AB131" s="254"/>
      <c r="AC131" s="418"/>
    </row>
    <row r="132" spans="1:29" s="577" customFormat="1" ht="16.149999999999999" customHeight="1" x14ac:dyDescent="0.2">
      <c r="A132" s="571"/>
      <c r="B132" s="483"/>
      <c r="C132" s="483"/>
      <c r="D132" s="613">
        <f>D131*G132</f>
        <v>90</v>
      </c>
      <c r="E132" s="560"/>
      <c r="F132" s="561" t="s">
        <v>291</v>
      </c>
      <c r="G132" s="562">
        <v>100</v>
      </c>
      <c r="H132" s="563"/>
      <c r="I132" s="613">
        <f>I131*L132</f>
        <v>118.8</v>
      </c>
      <c r="J132" s="594"/>
      <c r="K132" s="595" t="s">
        <v>291</v>
      </c>
      <c r="L132" s="565">
        <v>72</v>
      </c>
      <c r="M132" s="563"/>
      <c r="N132" s="613">
        <f>N131*Q132</f>
        <v>99</v>
      </c>
      <c r="O132" s="560"/>
      <c r="P132" s="561" t="s">
        <v>291</v>
      </c>
      <c r="Q132" s="562">
        <v>60</v>
      </c>
      <c r="R132" s="563"/>
      <c r="S132" s="596"/>
      <c r="T132" s="596"/>
      <c r="U132" s="597"/>
      <c r="V132" s="597"/>
      <c r="W132" s="563"/>
      <c r="X132" s="596"/>
      <c r="Y132" s="596"/>
      <c r="Z132" s="597"/>
      <c r="AA132" s="597"/>
      <c r="AB132" s="483"/>
      <c r="AC132" s="576"/>
    </row>
    <row r="133" spans="1:29" s="199" customFormat="1" ht="27" customHeight="1" x14ac:dyDescent="0.2">
      <c r="A133" s="469"/>
      <c r="B133" s="254"/>
      <c r="C133" s="254"/>
      <c r="D133" s="297"/>
      <c r="E133" s="298"/>
      <c r="F133" s="299"/>
      <c r="G133" s="300"/>
      <c r="H133" s="294"/>
      <c r="I133" s="297"/>
      <c r="J133" s="298"/>
      <c r="K133" s="299"/>
      <c r="L133" s="300"/>
      <c r="M133" s="290"/>
      <c r="N133" s="295"/>
      <c r="O133" s="295"/>
      <c r="P133" s="296"/>
      <c r="Q133" s="296"/>
      <c r="R133" s="290"/>
      <c r="S133" s="295"/>
      <c r="T133" s="295"/>
      <c r="U133" s="296"/>
      <c r="V133" s="296"/>
      <c r="W133" s="290"/>
      <c r="X133" s="295"/>
      <c r="Y133" s="295"/>
      <c r="Z133" s="296"/>
      <c r="AA133" s="296"/>
      <c r="AB133" s="254"/>
      <c r="AC133" s="418"/>
    </row>
    <row r="134" spans="1:29" s="193" customFormat="1" ht="27" customHeight="1" x14ac:dyDescent="0.3">
      <c r="A134" s="465"/>
      <c r="B134" s="275"/>
      <c r="C134" s="275"/>
      <c r="D134" s="1110" t="s">
        <v>573</v>
      </c>
      <c r="E134" s="1110"/>
      <c r="F134" s="1110"/>
      <c r="G134" s="1110"/>
      <c r="H134" s="1110"/>
      <c r="I134" s="1110"/>
      <c r="J134" s="1110"/>
      <c r="K134" s="1110"/>
      <c r="L134" s="1110"/>
      <c r="M134" s="1110"/>
      <c r="N134" s="1110"/>
      <c r="O134" s="1110"/>
      <c r="P134" s="1110"/>
      <c r="Q134" s="1110"/>
      <c r="R134" s="1110"/>
      <c r="S134" s="1110"/>
      <c r="T134" s="1110"/>
      <c r="U134" s="1110"/>
      <c r="V134" s="1110"/>
      <c r="W134" s="1110"/>
      <c r="X134" s="1110"/>
      <c r="Y134" s="1110"/>
      <c r="Z134" s="1110"/>
      <c r="AA134" s="1110"/>
      <c r="AB134" s="275"/>
      <c r="AC134" s="395"/>
    </row>
    <row r="135" spans="1:29" ht="27" customHeight="1" x14ac:dyDescent="0.3">
      <c r="A135" s="462"/>
      <c r="B135" s="254"/>
      <c r="C135" s="254"/>
      <c r="D135" s="1108" t="s">
        <v>277</v>
      </c>
      <c r="E135" s="1108"/>
      <c r="F135" s="1108"/>
      <c r="G135" s="1108"/>
      <c r="H135" s="1109"/>
      <c r="I135" s="1108"/>
      <c r="J135" s="1108"/>
      <c r="K135" s="1108"/>
      <c r="L135" s="1108"/>
      <c r="M135" s="1109"/>
      <c r="N135" s="1108"/>
      <c r="O135" s="1108"/>
      <c r="P135" s="1108"/>
      <c r="Q135" s="1108"/>
      <c r="R135" s="1109"/>
      <c r="S135" s="1108"/>
      <c r="T135" s="1108"/>
      <c r="U135" s="1108"/>
      <c r="V135" s="1108"/>
      <c r="W135" s="1109"/>
      <c r="X135" s="1108"/>
      <c r="Y135" s="1108"/>
      <c r="Z135" s="1108"/>
      <c r="AA135" s="1108"/>
      <c r="AB135" s="410"/>
    </row>
    <row r="136" spans="1:29" s="190" customFormat="1" ht="18.75" x14ac:dyDescent="0.3">
      <c r="A136" s="463"/>
      <c r="B136" s="1124"/>
      <c r="C136" s="289"/>
      <c r="D136" s="775"/>
      <c r="E136" s="775"/>
      <c r="F136" s="775"/>
      <c r="G136" s="775"/>
      <c r="H136" s="353"/>
      <c r="I136" s="775"/>
      <c r="J136" s="775"/>
      <c r="K136" s="775"/>
      <c r="L136" s="775"/>
      <c r="M136" s="353"/>
      <c r="N136" s="775"/>
      <c r="O136" s="775"/>
      <c r="P136" s="775"/>
      <c r="Q136" s="775"/>
      <c r="R136" s="353"/>
      <c r="S136" s="775"/>
      <c r="T136" s="775"/>
      <c r="U136" s="775"/>
      <c r="V136" s="775"/>
      <c r="W136" s="353"/>
      <c r="X136" s="775"/>
      <c r="Y136" s="775"/>
      <c r="Z136" s="775"/>
      <c r="AA136" s="775"/>
      <c r="AB136" s="411"/>
      <c r="AC136" s="414"/>
    </row>
    <row r="137" spans="1:29" ht="15" x14ac:dyDescent="0.25">
      <c r="A137" s="462"/>
      <c r="B137" s="1124"/>
      <c r="C137" s="289"/>
      <c r="D137" s="792"/>
      <c r="E137" s="792"/>
      <c r="F137" s="792"/>
      <c r="G137" s="792"/>
      <c r="H137" s="353"/>
      <c r="I137" s="792"/>
      <c r="J137" s="792"/>
      <c r="K137" s="792"/>
      <c r="L137" s="792"/>
      <c r="M137" s="353"/>
      <c r="N137" s="792"/>
      <c r="O137" s="792"/>
      <c r="P137" s="792"/>
      <c r="Q137" s="792"/>
      <c r="R137" s="353"/>
      <c r="S137" s="792"/>
      <c r="T137" s="792"/>
      <c r="U137" s="792"/>
      <c r="V137" s="792"/>
      <c r="W137" s="353"/>
      <c r="X137" s="792"/>
      <c r="Y137" s="792"/>
      <c r="Z137" s="792"/>
      <c r="AA137" s="792"/>
      <c r="AB137" s="411"/>
    </row>
    <row r="138" spans="1:29" ht="12.6" customHeight="1" x14ac:dyDescent="0.25">
      <c r="A138" s="462"/>
      <c r="B138" s="1124"/>
      <c r="C138" s="289"/>
      <c r="D138" s="317"/>
      <c r="E138" s="317"/>
      <c r="F138" s="317"/>
      <c r="G138" s="317"/>
      <c r="H138" s="353"/>
      <c r="I138" s="317"/>
      <c r="J138" s="317"/>
      <c r="K138" s="317"/>
      <c r="L138" s="317"/>
      <c r="M138" s="353"/>
      <c r="N138" s="317"/>
      <c r="O138" s="317"/>
      <c r="P138" s="317"/>
      <c r="Q138" s="317"/>
      <c r="R138" s="353"/>
      <c r="S138" s="317"/>
      <c r="T138" s="317"/>
      <c r="U138" s="317"/>
      <c r="V138" s="317"/>
      <c r="W138" s="353"/>
      <c r="X138" s="317"/>
      <c r="Y138" s="317"/>
      <c r="Z138" s="317"/>
      <c r="AA138" s="317"/>
      <c r="AB138" s="411"/>
    </row>
    <row r="139" spans="1:29" ht="14.65" customHeight="1" x14ac:dyDescent="0.25">
      <c r="A139" s="462"/>
      <c r="B139" s="1124"/>
      <c r="C139" s="289"/>
      <c r="D139" s="792"/>
      <c r="E139" s="792"/>
      <c r="F139" s="792"/>
      <c r="G139" s="792"/>
      <c r="H139" s="353"/>
      <c r="I139" s="792"/>
      <c r="J139" s="792"/>
      <c r="K139" s="792"/>
      <c r="L139" s="792"/>
      <c r="M139" s="353"/>
      <c r="N139" s="792"/>
      <c r="O139" s="792"/>
      <c r="P139" s="792"/>
      <c r="Q139" s="792"/>
      <c r="R139" s="353"/>
      <c r="S139" s="792"/>
      <c r="T139" s="792"/>
      <c r="U139" s="792"/>
      <c r="V139" s="792"/>
      <c r="W139" s="353"/>
      <c r="X139" s="792"/>
      <c r="Y139" s="792"/>
      <c r="Z139" s="792"/>
      <c r="AA139" s="792"/>
      <c r="AB139" s="411"/>
    </row>
    <row r="140" spans="1:29" ht="15" x14ac:dyDescent="0.25">
      <c r="A140" s="462"/>
      <c r="B140" s="1124"/>
      <c r="C140" s="289"/>
      <c r="D140" s="792"/>
      <c r="E140" s="792"/>
      <c r="F140" s="792"/>
      <c r="G140" s="792"/>
      <c r="H140" s="353"/>
      <c r="I140" s="792"/>
      <c r="J140" s="792"/>
      <c r="K140" s="792"/>
      <c r="L140" s="792"/>
      <c r="M140" s="353"/>
      <c r="N140" s="792"/>
      <c r="O140" s="792"/>
      <c r="P140" s="792"/>
      <c r="Q140" s="792"/>
      <c r="R140" s="353"/>
      <c r="S140" s="792"/>
      <c r="T140" s="792"/>
      <c r="U140" s="792"/>
      <c r="V140" s="792"/>
      <c r="W140" s="353"/>
      <c r="X140" s="792"/>
      <c r="Y140" s="792"/>
      <c r="Z140" s="792"/>
      <c r="AA140" s="792"/>
      <c r="AB140" s="411"/>
    </row>
    <row r="141" spans="1:29" ht="15" x14ac:dyDescent="0.25">
      <c r="A141" s="462"/>
      <c r="B141" s="1124"/>
      <c r="C141" s="289"/>
      <c r="D141" s="795"/>
      <c r="E141" s="795"/>
      <c r="F141" s="795"/>
      <c r="G141" s="795"/>
      <c r="H141" s="353"/>
      <c r="I141" s="792"/>
      <c r="J141" s="792"/>
      <c r="K141" s="792"/>
      <c r="L141" s="792"/>
      <c r="M141" s="353"/>
      <c r="N141" s="792"/>
      <c r="O141" s="792"/>
      <c r="P141" s="792"/>
      <c r="Q141" s="792"/>
      <c r="R141" s="353"/>
      <c r="S141" s="792"/>
      <c r="T141" s="792"/>
      <c r="U141" s="792"/>
      <c r="V141" s="792"/>
      <c r="W141" s="353"/>
      <c r="X141" s="792"/>
      <c r="Y141" s="792"/>
      <c r="Z141" s="792"/>
      <c r="AA141" s="792"/>
      <c r="AB141" s="411"/>
    </row>
    <row r="142" spans="1:29" ht="15" x14ac:dyDescent="0.25">
      <c r="A142" s="462"/>
      <c r="B142" s="1124"/>
      <c r="C142" s="264"/>
      <c r="D142" s="1017" t="s">
        <v>240</v>
      </c>
      <c r="E142" s="1018"/>
      <c r="F142" s="1018"/>
      <c r="G142" s="1019"/>
      <c r="H142" s="293"/>
      <c r="I142" s="1017" t="s">
        <v>241</v>
      </c>
      <c r="J142" s="1018"/>
      <c r="K142" s="1018"/>
      <c r="L142" s="1019"/>
      <c r="M142" s="293"/>
      <c r="N142" s="1017" t="s">
        <v>242</v>
      </c>
      <c r="O142" s="1018"/>
      <c r="P142" s="1018"/>
      <c r="Q142" s="1019"/>
      <c r="R142" s="293"/>
      <c r="S142" s="1017" t="s">
        <v>243</v>
      </c>
      <c r="T142" s="1018"/>
      <c r="U142" s="1018"/>
      <c r="V142" s="1019"/>
      <c r="W142" s="293"/>
      <c r="X142" s="1017" t="s">
        <v>244</v>
      </c>
      <c r="Y142" s="1018"/>
      <c r="Z142" s="1018"/>
      <c r="AA142" s="1019"/>
      <c r="AB142" s="256"/>
    </row>
    <row r="143" spans="1:29" ht="13.5" customHeight="1" x14ac:dyDescent="0.25">
      <c r="A143" s="462"/>
      <c r="B143" s="1124"/>
      <c r="C143" s="264"/>
      <c r="D143" s="1009" t="s">
        <v>286</v>
      </c>
      <c r="E143" s="1009"/>
      <c r="F143" s="1009"/>
      <c r="G143" s="1009"/>
      <c r="H143" s="354"/>
      <c r="I143" s="1016" t="s">
        <v>285</v>
      </c>
      <c r="J143" s="768"/>
      <c r="K143" s="768"/>
      <c r="L143" s="769"/>
      <c r="M143" s="354"/>
      <c r="N143" s="1016" t="s">
        <v>282</v>
      </c>
      <c r="O143" s="768"/>
      <c r="P143" s="768"/>
      <c r="Q143" s="768"/>
      <c r="R143" s="460"/>
      <c r="S143" s="768" t="s">
        <v>284</v>
      </c>
      <c r="T143" s="768"/>
      <c r="U143" s="768"/>
      <c r="V143" s="769"/>
      <c r="W143" s="354"/>
      <c r="X143" s="1016" t="s">
        <v>283</v>
      </c>
      <c r="Y143" s="768"/>
      <c r="Z143" s="768"/>
      <c r="AA143" s="769"/>
      <c r="AB143" s="259"/>
    </row>
    <row r="144" spans="1:29" s="284" customFormat="1" ht="13.5" customHeight="1" thickBot="1" x14ac:dyDescent="0.3">
      <c r="A144" s="470"/>
      <c r="B144" s="1124"/>
      <c r="C144" s="282"/>
      <c r="D144" s="860" t="s">
        <v>572</v>
      </c>
      <c r="E144" s="861"/>
      <c r="F144" s="1010"/>
      <c r="G144" s="1011"/>
      <c r="H144" s="301"/>
      <c r="I144" s="860" t="s">
        <v>574</v>
      </c>
      <c r="J144" s="861"/>
      <c r="K144" s="1010"/>
      <c r="L144" s="1011"/>
      <c r="M144" s="301"/>
      <c r="N144" s="860" t="s">
        <v>575</v>
      </c>
      <c r="O144" s="861"/>
      <c r="P144" s="1010"/>
      <c r="Q144" s="1010"/>
      <c r="R144" s="461"/>
      <c r="S144" s="861" t="s">
        <v>576</v>
      </c>
      <c r="T144" s="861"/>
      <c r="U144" s="1010"/>
      <c r="V144" s="1011"/>
      <c r="W144" s="301"/>
      <c r="X144" s="860" t="s">
        <v>590</v>
      </c>
      <c r="Y144" s="861"/>
      <c r="Z144" s="1010"/>
      <c r="AA144" s="1011"/>
      <c r="AB144" s="285"/>
      <c r="AC144" s="419"/>
    </row>
    <row r="145" spans="1:29" s="200" customFormat="1" ht="16.149999999999999" customHeight="1" thickBot="1" x14ac:dyDescent="0.3">
      <c r="A145" s="471"/>
      <c r="B145" s="1124"/>
      <c r="C145" s="264"/>
      <c r="D145" s="1040">
        <v>1.23</v>
      </c>
      <c r="E145" s="1005"/>
      <c r="F145" s="877">
        <v>0</v>
      </c>
      <c r="G145" s="999"/>
      <c r="H145" s="293"/>
      <c r="I145" s="1040">
        <v>2.13</v>
      </c>
      <c r="J145" s="1005"/>
      <c r="K145" s="877"/>
      <c r="L145" s="999"/>
      <c r="M145" s="293"/>
      <c r="N145" s="1040">
        <v>3.08</v>
      </c>
      <c r="O145" s="1005"/>
      <c r="P145" s="877">
        <v>0</v>
      </c>
      <c r="Q145" s="999"/>
      <c r="R145" s="293"/>
      <c r="S145" s="1040">
        <v>1.96</v>
      </c>
      <c r="T145" s="1005"/>
      <c r="U145" s="877">
        <v>0</v>
      </c>
      <c r="V145" s="999"/>
      <c r="W145" s="293"/>
      <c r="X145" s="1040">
        <v>4.2</v>
      </c>
      <c r="Y145" s="1005"/>
      <c r="Z145" s="877">
        <v>0</v>
      </c>
      <c r="AA145" s="999"/>
      <c r="AB145" s="256"/>
      <c r="AC145" s="420"/>
    </row>
    <row r="146" spans="1:29" s="199" customFormat="1" ht="10.15" customHeight="1" x14ac:dyDescent="0.25">
      <c r="A146" s="469"/>
      <c r="B146" s="1124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  <c r="AC146" s="418"/>
    </row>
    <row r="147" spans="1:29" ht="15" x14ac:dyDescent="0.25">
      <c r="A147" s="462"/>
      <c r="B147" s="1124"/>
      <c r="C147" s="289"/>
      <c r="D147" s="792"/>
      <c r="E147" s="792"/>
      <c r="F147" s="792"/>
      <c r="G147" s="792"/>
      <c r="H147" s="353"/>
      <c r="I147" s="792"/>
      <c r="J147" s="792"/>
      <c r="K147" s="792"/>
      <c r="L147" s="792"/>
      <c r="M147" s="353"/>
      <c r="N147" s="775"/>
      <c r="O147" s="775"/>
      <c r="P147" s="775"/>
      <c r="Q147" s="775"/>
      <c r="R147" s="353"/>
      <c r="S147" s="775"/>
      <c r="T147" s="775"/>
      <c r="U147" s="775"/>
      <c r="V147" s="775"/>
      <c r="W147" s="353"/>
      <c r="X147" s="775"/>
      <c r="Y147" s="775"/>
      <c r="Z147" s="775"/>
      <c r="AA147" s="775"/>
      <c r="AB147" s="411"/>
    </row>
    <row r="148" spans="1:29" ht="15" x14ac:dyDescent="0.25">
      <c r="A148" s="462"/>
      <c r="B148" s="1124"/>
      <c r="C148" s="289"/>
      <c r="D148" s="792"/>
      <c r="E148" s="792"/>
      <c r="F148" s="792"/>
      <c r="G148" s="792"/>
      <c r="H148" s="353"/>
      <c r="I148" s="792"/>
      <c r="J148" s="792"/>
      <c r="K148" s="792"/>
      <c r="L148" s="792"/>
      <c r="M148" s="353"/>
      <c r="N148" s="855"/>
      <c r="O148" s="962"/>
      <c r="P148" s="962"/>
      <c r="Q148" s="855"/>
      <c r="R148" s="353"/>
      <c r="S148" s="855"/>
      <c r="T148" s="962"/>
      <c r="U148" s="962"/>
      <c r="V148" s="855"/>
      <c r="W148" s="353"/>
      <c r="X148" s="775"/>
      <c r="Y148" s="775"/>
      <c r="Z148" s="775"/>
      <c r="AA148" s="775"/>
      <c r="AB148" s="411"/>
    </row>
    <row r="149" spans="1:29" ht="15" x14ac:dyDescent="0.25">
      <c r="A149" s="462"/>
      <c r="B149" s="1124"/>
      <c r="C149" s="289"/>
      <c r="D149" s="792"/>
      <c r="E149" s="792"/>
      <c r="F149" s="792"/>
      <c r="G149" s="792"/>
      <c r="H149" s="353"/>
      <c r="I149" s="792"/>
      <c r="J149" s="792"/>
      <c r="K149" s="792"/>
      <c r="L149" s="792"/>
      <c r="M149" s="353"/>
      <c r="N149" s="855"/>
      <c r="O149" s="962"/>
      <c r="P149" s="962"/>
      <c r="Q149" s="855"/>
      <c r="R149" s="353"/>
      <c r="S149" s="855"/>
      <c r="T149" s="962"/>
      <c r="U149" s="962"/>
      <c r="V149" s="855"/>
      <c r="W149" s="353"/>
      <c r="X149" s="335"/>
      <c r="Y149" s="335"/>
      <c r="Z149" s="335"/>
      <c r="AA149" s="335"/>
      <c r="AB149" s="411"/>
    </row>
    <row r="150" spans="1:29" ht="15" x14ac:dyDescent="0.25">
      <c r="A150" s="462"/>
      <c r="B150" s="1124"/>
      <c r="C150" s="289"/>
      <c r="D150" s="317"/>
      <c r="E150" s="317"/>
      <c r="F150" s="317"/>
      <c r="G150" s="317"/>
      <c r="H150" s="353"/>
      <c r="I150" s="317"/>
      <c r="J150" s="317"/>
      <c r="K150" s="317"/>
      <c r="L150" s="317"/>
      <c r="M150" s="353"/>
      <c r="N150" s="855"/>
      <c r="O150" s="962"/>
      <c r="P150" s="962"/>
      <c r="Q150" s="855"/>
      <c r="R150" s="353"/>
      <c r="S150" s="855"/>
      <c r="T150" s="962"/>
      <c r="U150" s="962"/>
      <c r="V150" s="855"/>
      <c r="W150" s="353"/>
      <c r="X150" s="775"/>
      <c r="Y150" s="775"/>
      <c r="Z150" s="775"/>
      <c r="AA150" s="775"/>
      <c r="AB150" s="411"/>
    </row>
    <row r="151" spans="1:29" ht="15" x14ac:dyDescent="0.25">
      <c r="A151" s="462"/>
      <c r="B151" s="1124"/>
      <c r="C151" s="289"/>
      <c r="D151" s="792"/>
      <c r="E151" s="792"/>
      <c r="F151" s="792"/>
      <c r="G151" s="792"/>
      <c r="H151" s="353"/>
      <c r="I151" s="792"/>
      <c r="J151" s="792"/>
      <c r="K151" s="792"/>
      <c r="L151" s="792"/>
      <c r="M151" s="353"/>
      <c r="N151" s="855"/>
      <c r="O151" s="962"/>
      <c r="P151" s="962"/>
      <c r="Q151" s="855"/>
      <c r="R151" s="353"/>
      <c r="S151" s="855"/>
      <c r="T151" s="962"/>
      <c r="U151" s="962"/>
      <c r="V151" s="855"/>
      <c r="W151" s="353"/>
      <c r="X151" s="775"/>
      <c r="Y151" s="775"/>
      <c r="Z151" s="775"/>
      <c r="AA151" s="775"/>
      <c r="AB151" s="411"/>
    </row>
    <row r="152" spans="1:29" ht="13.5" customHeight="1" x14ac:dyDescent="0.25">
      <c r="A152" s="462"/>
      <c r="B152" s="1124"/>
      <c r="C152" s="289"/>
      <c r="D152" s="792"/>
      <c r="E152" s="792"/>
      <c r="F152" s="792"/>
      <c r="G152" s="792"/>
      <c r="H152" s="353"/>
      <c r="I152" s="792"/>
      <c r="J152" s="792"/>
      <c r="K152" s="792"/>
      <c r="L152" s="792"/>
      <c r="M152" s="353"/>
      <c r="N152" s="855"/>
      <c r="O152" s="855"/>
      <c r="P152" s="855"/>
      <c r="Q152" s="855"/>
      <c r="R152" s="353"/>
      <c r="S152" s="855"/>
      <c r="T152" s="855"/>
      <c r="U152" s="855"/>
      <c r="V152" s="855"/>
      <c r="W152" s="353"/>
      <c r="X152" s="775"/>
      <c r="Y152" s="775"/>
      <c r="Z152" s="775"/>
      <c r="AA152" s="775"/>
      <c r="AB152" s="411"/>
    </row>
    <row r="153" spans="1:29" ht="15" x14ac:dyDescent="0.25">
      <c r="A153" s="462"/>
      <c r="B153" s="1124"/>
      <c r="C153" s="264"/>
      <c r="D153" s="857" t="s">
        <v>245</v>
      </c>
      <c r="E153" s="858"/>
      <c r="F153" s="858"/>
      <c r="G153" s="859"/>
      <c r="H153" s="293"/>
      <c r="I153" s="857" t="s">
        <v>246</v>
      </c>
      <c r="J153" s="858"/>
      <c r="K153" s="858"/>
      <c r="L153" s="859"/>
      <c r="M153" s="293"/>
      <c r="N153" s="857" t="s">
        <v>247</v>
      </c>
      <c r="O153" s="858"/>
      <c r="P153" s="858"/>
      <c r="Q153" s="859"/>
      <c r="R153" s="293"/>
      <c r="S153" s="857" t="s">
        <v>248</v>
      </c>
      <c r="T153" s="858"/>
      <c r="U153" s="858"/>
      <c r="V153" s="859"/>
      <c r="W153" s="293"/>
      <c r="X153" s="1045" t="s">
        <v>249</v>
      </c>
      <c r="Y153" s="1046"/>
      <c r="Z153" s="1046"/>
      <c r="AA153" s="1047"/>
      <c r="AB153" s="256"/>
    </row>
    <row r="154" spans="1:29" s="284" customFormat="1" ht="13.5" customHeight="1" x14ac:dyDescent="0.25">
      <c r="A154" s="470"/>
      <c r="B154" s="1124"/>
      <c r="C154" s="282"/>
      <c r="D154" s="1049" t="s">
        <v>396</v>
      </c>
      <c r="E154" s="1010"/>
      <c r="F154" s="1010"/>
      <c r="G154" s="1011"/>
      <c r="H154" s="347"/>
      <c r="I154" s="1049" t="s">
        <v>395</v>
      </c>
      <c r="J154" s="1010"/>
      <c r="K154" s="1010"/>
      <c r="L154" s="1011"/>
      <c r="M154" s="347"/>
      <c r="N154" s="1049" t="s">
        <v>394</v>
      </c>
      <c r="O154" s="1010"/>
      <c r="P154" s="1010"/>
      <c r="Q154" s="1011"/>
      <c r="R154" s="347"/>
      <c r="S154" s="1049" t="s">
        <v>393</v>
      </c>
      <c r="T154" s="1010"/>
      <c r="U154" s="1010"/>
      <c r="V154" s="1011"/>
      <c r="W154" s="347"/>
      <c r="X154" s="1125" t="s">
        <v>392</v>
      </c>
      <c r="Y154" s="1126"/>
      <c r="Z154" s="1126"/>
      <c r="AA154" s="1127"/>
      <c r="AB154" s="412"/>
      <c r="AC154" s="419"/>
    </row>
    <row r="155" spans="1:29" s="284" customFormat="1" ht="13.5" customHeight="1" thickBot="1" x14ac:dyDescent="0.3">
      <c r="A155" s="470"/>
      <c r="B155" s="1124"/>
      <c r="C155" s="282"/>
      <c r="D155" s="860" t="s">
        <v>583</v>
      </c>
      <c r="E155" s="861"/>
      <c r="F155" s="1010"/>
      <c r="G155" s="1011"/>
      <c r="H155" s="301"/>
      <c r="I155" s="860" t="s">
        <v>584</v>
      </c>
      <c r="J155" s="861"/>
      <c r="K155" s="1010"/>
      <c r="L155" s="1011"/>
      <c r="M155" s="301"/>
      <c r="N155" s="860" t="s">
        <v>577</v>
      </c>
      <c r="O155" s="861"/>
      <c r="P155" s="1010"/>
      <c r="Q155" s="1011"/>
      <c r="R155" s="301"/>
      <c r="S155" s="860" t="s">
        <v>578</v>
      </c>
      <c r="T155" s="861"/>
      <c r="U155" s="1010"/>
      <c r="V155" s="1011"/>
      <c r="W155" s="301"/>
      <c r="X155" s="860" t="s">
        <v>579</v>
      </c>
      <c r="Y155" s="861"/>
      <c r="Z155" s="1010"/>
      <c r="AA155" s="1011"/>
      <c r="AB155" s="285"/>
      <c r="AC155" s="419"/>
    </row>
    <row r="156" spans="1:29" s="199" customFormat="1" ht="16.149999999999999" customHeight="1" thickBot="1" x14ac:dyDescent="0.3">
      <c r="A156" s="469"/>
      <c r="B156" s="1124"/>
      <c r="C156" s="264"/>
      <c r="D156" s="991">
        <v>2.2599999999999998</v>
      </c>
      <c r="E156" s="1048"/>
      <c r="F156" s="1043">
        <v>0</v>
      </c>
      <c r="G156" s="1044"/>
      <c r="H156" s="293"/>
      <c r="I156" s="1040">
        <v>3.29</v>
      </c>
      <c r="J156" s="1005"/>
      <c r="K156" s="877">
        <v>0</v>
      </c>
      <c r="L156" s="999"/>
      <c r="M156" s="293"/>
      <c r="N156" s="1040">
        <v>1.23</v>
      </c>
      <c r="O156" s="1005"/>
      <c r="P156" s="877">
        <v>0</v>
      </c>
      <c r="Q156" s="999"/>
      <c r="R156" s="293"/>
      <c r="S156" s="1040">
        <v>1.53</v>
      </c>
      <c r="T156" s="1005"/>
      <c r="U156" s="877">
        <v>0</v>
      </c>
      <c r="V156" s="999"/>
      <c r="W156" s="293"/>
      <c r="X156" s="1014">
        <v>1.93</v>
      </c>
      <c r="Y156" s="1015"/>
      <c r="Z156" s="877">
        <v>0</v>
      </c>
      <c r="AA156" s="999"/>
      <c r="AB156" s="256"/>
      <c r="AC156" s="418"/>
    </row>
    <row r="157" spans="1:29" ht="10.15" customHeight="1" x14ac:dyDescent="0.25">
      <c r="A157" s="462"/>
      <c r="B157" s="1124"/>
      <c r="C157" s="264"/>
      <c r="D157" s="355"/>
      <c r="E157" s="355"/>
      <c r="F157" s="355"/>
      <c r="G157" s="355"/>
      <c r="H157" s="293"/>
      <c r="I157" s="355"/>
      <c r="J157" s="355"/>
      <c r="K157" s="355"/>
      <c r="L157" s="355"/>
      <c r="M157" s="293"/>
      <c r="N157" s="355"/>
      <c r="O157" s="355"/>
      <c r="P157" s="355"/>
      <c r="Q157" s="355"/>
      <c r="R157" s="293"/>
      <c r="S157" s="355"/>
      <c r="T157" s="355"/>
      <c r="U157" s="355"/>
      <c r="V157" s="355"/>
      <c r="W157" s="293"/>
      <c r="X157" s="355"/>
      <c r="Y157" s="355"/>
      <c r="Z157" s="355"/>
      <c r="AA157" s="355"/>
      <c r="AB157" s="256"/>
    </row>
    <row r="158" spans="1:29" ht="15" x14ac:dyDescent="0.25">
      <c r="A158" s="462"/>
      <c r="B158" s="1124"/>
      <c r="C158" s="289"/>
      <c r="D158" s="775"/>
      <c r="E158" s="775"/>
      <c r="F158" s="775"/>
      <c r="G158" s="775"/>
      <c r="H158" s="353"/>
      <c r="I158" s="792"/>
      <c r="J158" s="792"/>
      <c r="K158" s="792"/>
      <c r="L158" s="792"/>
      <c r="M158" s="353"/>
      <c r="N158" s="1102"/>
      <c r="O158" s="1103"/>
      <c r="P158" s="1103"/>
      <c r="Q158" s="1103"/>
      <c r="R158" s="353"/>
      <c r="S158" s="792"/>
      <c r="T158" s="792"/>
      <c r="U158" s="792"/>
      <c r="V158" s="792"/>
      <c r="W158" s="353"/>
      <c r="X158" s="792"/>
      <c r="Y158" s="792"/>
      <c r="Z158" s="792"/>
      <c r="AA158" s="792"/>
      <c r="AB158" s="411"/>
    </row>
    <row r="159" spans="1:29" ht="15" x14ac:dyDescent="0.25">
      <c r="A159" s="462"/>
      <c r="B159" s="1124"/>
      <c r="C159" s="289"/>
      <c r="D159" s="855"/>
      <c r="E159" s="962"/>
      <c r="F159" s="962"/>
      <c r="G159" s="855"/>
      <c r="H159" s="353"/>
      <c r="I159" s="1012"/>
      <c r="J159" s="1013"/>
      <c r="K159" s="1013"/>
      <c r="L159" s="1012"/>
      <c r="M159" s="353"/>
      <c r="N159" s="1103"/>
      <c r="O159" s="1104"/>
      <c r="P159" s="1104"/>
      <c r="Q159" s="1103"/>
      <c r="R159" s="353"/>
      <c r="S159" s="792"/>
      <c r="T159" s="792"/>
      <c r="U159" s="792"/>
      <c r="V159" s="792"/>
      <c r="W159" s="353"/>
      <c r="X159" s="1012"/>
      <c r="Y159" s="1013"/>
      <c r="Z159" s="1013"/>
      <c r="AA159" s="1012"/>
      <c r="AB159" s="411"/>
    </row>
    <row r="160" spans="1:29" ht="15" x14ac:dyDescent="0.25">
      <c r="A160" s="462"/>
      <c r="B160" s="1124"/>
      <c r="C160" s="289"/>
      <c r="D160" s="855"/>
      <c r="E160" s="962"/>
      <c r="F160" s="962"/>
      <c r="G160" s="855"/>
      <c r="H160" s="353"/>
      <c r="I160" s="1012"/>
      <c r="J160" s="1013"/>
      <c r="K160" s="1013"/>
      <c r="L160" s="1012"/>
      <c r="M160" s="353"/>
      <c r="N160" s="1103"/>
      <c r="O160" s="1104"/>
      <c r="P160" s="1104"/>
      <c r="Q160" s="1103"/>
      <c r="R160" s="353"/>
      <c r="S160" s="792"/>
      <c r="T160" s="792"/>
      <c r="U160" s="792"/>
      <c r="V160" s="792"/>
      <c r="W160" s="353"/>
      <c r="X160" s="1012"/>
      <c r="Y160" s="1013"/>
      <c r="Z160" s="1013"/>
      <c r="AA160" s="1012"/>
      <c r="AB160" s="411"/>
    </row>
    <row r="161" spans="1:29" ht="15" x14ac:dyDescent="0.25">
      <c r="A161" s="462"/>
      <c r="B161" s="1124"/>
      <c r="C161" s="289"/>
      <c r="D161" s="855"/>
      <c r="E161" s="962"/>
      <c r="F161" s="962"/>
      <c r="G161" s="855"/>
      <c r="H161" s="353"/>
      <c r="I161" s="1012"/>
      <c r="J161" s="1013"/>
      <c r="K161" s="1013"/>
      <c r="L161" s="1012"/>
      <c r="M161" s="353"/>
      <c r="N161" s="1103"/>
      <c r="O161" s="1104"/>
      <c r="P161" s="1104"/>
      <c r="Q161" s="1103"/>
      <c r="R161" s="353"/>
      <c r="S161" s="792"/>
      <c r="T161" s="792"/>
      <c r="U161" s="792"/>
      <c r="V161" s="792"/>
      <c r="W161" s="353"/>
      <c r="X161" s="1012"/>
      <c r="Y161" s="1013"/>
      <c r="Z161" s="1013"/>
      <c r="AA161" s="1012"/>
      <c r="AB161" s="411"/>
    </row>
    <row r="162" spans="1:29" ht="13.5" customHeight="1" x14ac:dyDescent="0.25">
      <c r="A162" s="462"/>
      <c r="B162" s="1124"/>
      <c r="C162" s="289"/>
      <c r="D162" s="855"/>
      <c r="E162" s="962"/>
      <c r="F162" s="962"/>
      <c r="G162" s="855"/>
      <c r="H162" s="353"/>
      <c r="I162" s="1012"/>
      <c r="J162" s="1013"/>
      <c r="K162" s="1013"/>
      <c r="L162" s="1012"/>
      <c r="M162" s="353"/>
      <c r="N162" s="1103"/>
      <c r="O162" s="1104"/>
      <c r="P162" s="1104"/>
      <c r="Q162" s="1103"/>
      <c r="R162" s="353"/>
      <c r="S162" s="792"/>
      <c r="T162" s="792"/>
      <c r="U162" s="792"/>
      <c r="V162" s="792"/>
      <c r="W162" s="353"/>
      <c r="X162" s="1012"/>
      <c r="Y162" s="1013"/>
      <c r="Z162" s="1013"/>
      <c r="AA162" s="1012"/>
      <c r="AB162" s="411"/>
    </row>
    <row r="163" spans="1:29" ht="15" x14ac:dyDescent="0.25">
      <c r="A163" s="462"/>
      <c r="B163" s="1124"/>
      <c r="C163" s="289"/>
      <c r="D163" s="855"/>
      <c r="E163" s="855"/>
      <c r="F163" s="855"/>
      <c r="G163" s="855"/>
      <c r="H163" s="353"/>
      <c r="I163" s="1012"/>
      <c r="J163" s="1012"/>
      <c r="K163" s="1012"/>
      <c r="L163" s="1012"/>
      <c r="M163" s="353"/>
      <c r="N163" s="1103"/>
      <c r="O163" s="1103"/>
      <c r="P163" s="1103"/>
      <c r="Q163" s="1103"/>
      <c r="R163" s="353"/>
      <c r="S163" s="792"/>
      <c r="T163" s="792"/>
      <c r="U163" s="792"/>
      <c r="V163" s="792"/>
      <c r="W163" s="353"/>
      <c r="X163" s="1012"/>
      <c r="Y163" s="1012"/>
      <c r="Z163" s="1012"/>
      <c r="AA163" s="1012"/>
      <c r="AB163" s="411"/>
    </row>
    <row r="164" spans="1:29" ht="15" x14ac:dyDescent="0.25">
      <c r="A164" s="462"/>
      <c r="B164" s="1124"/>
      <c r="C164" s="264"/>
      <c r="D164" s="1023" t="s">
        <v>250</v>
      </c>
      <c r="E164" s="1024"/>
      <c r="F164" s="1024"/>
      <c r="G164" s="1025"/>
      <c r="H164" s="293"/>
      <c r="I164" s="1045" t="s">
        <v>251</v>
      </c>
      <c r="J164" s="1046"/>
      <c r="K164" s="1046"/>
      <c r="L164" s="1047"/>
      <c r="M164" s="293"/>
      <c r="N164" s="1023" t="s">
        <v>252</v>
      </c>
      <c r="O164" s="1024"/>
      <c r="P164" s="1024"/>
      <c r="Q164" s="1128"/>
      <c r="R164" s="353"/>
      <c r="S164" s="1026" t="s">
        <v>253</v>
      </c>
      <c r="T164" s="1024"/>
      <c r="U164" s="1024"/>
      <c r="V164" s="1025"/>
      <c r="W164" s="293"/>
      <c r="X164" s="1023" t="s">
        <v>254</v>
      </c>
      <c r="Y164" s="1024"/>
      <c r="Z164" s="1024"/>
      <c r="AA164" s="1025"/>
      <c r="AB164" s="256"/>
    </row>
    <row r="165" spans="1:29" ht="15" x14ac:dyDescent="0.25">
      <c r="A165" s="462"/>
      <c r="B165" s="1124"/>
      <c r="C165" s="264"/>
      <c r="D165" s="766" t="s">
        <v>397</v>
      </c>
      <c r="E165" s="767"/>
      <c r="F165" s="767"/>
      <c r="G165" s="783"/>
      <c r="H165" s="354"/>
      <c r="I165" s="1037" t="s">
        <v>398</v>
      </c>
      <c r="J165" s="1038"/>
      <c r="K165" s="1038"/>
      <c r="L165" s="1039"/>
      <c r="M165" s="354"/>
      <c r="N165" s="1008" t="s">
        <v>399</v>
      </c>
      <c r="O165" s="1008"/>
      <c r="P165" s="1009"/>
      <c r="Q165" s="1009"/>
      <c r="R165" s="354"/>
      <c r="S165" s="1008" t="s">
        <v>400</v>
      </c>
      <c r="T165" s="1008"/>
      <c r="U165" s="1009"/>
      <c r="V165" s="1009"/>
      <c r="W165" s="354"/>
      <c r="X165" s="1037" t="s">
        <v>498</v>
      </c>
      <c r="Y165" s="1038"/>
      <c r="Z165" s="1038"/>
      <c r="AA165" s="1039"/>
      <c r="AB165" s="259"/>
    </row>
    <row r="166" spans="1:29" s="284" customFormat="1" ht="15.75" thickBot="1" x14ac:dyDescent="0.3">
      <c r="A166" s="470"/>
      <c r="B166" s="1124"/>
      <c r="C166" s="282"/>
      <c r="D166" s="860" t="s">
        <v>580</v>
      </c>
      <c r="E166" s="861"/>
      <c r="F166" s="1010"/>
      <c r="G166" s="1011"/>
      <c r="H166" s="301"/>
      <c r="I166" s="860" t="s">
        <v>581</v>
      </c>
      <c r="J166" s="861"/>
      <c r="K166" s="1010"/>
      <c r="L166" s="1011"/>
      <c r="M166" s="301"/>
      <c r="N166" s="860" t="s">
        <v>582</v>
      </c>
      <c r="O166" s="861"/>
      <c r="P166" s="1010"/>
      <c r="Q166" s="1011"/>
      <c r="R166" s="301"/>
      <c r="S166" s="860" t="s">
        <v>585</v>
      </c>
      <c r="T166" s="861"/>
      <c r="U166" s="1010"/>
      <c r="V166" s="1011"/>
      <c r="W166" s="301"/>
      <c r="X166" s="860" t="s">
        <v>586</v>
      </c>
      <c r="Y166" s="861"/>
      <c r="Z166" s="1010"/>
      <c r="AA166" s="1011"/>
      <c r="AB166" s="285"/>
      <c r="AC166" s="419"/>
    </row>
    <row r="167" spans="1:29" s="199" customFormat="1" ht="16.149999999999999" customHeight="1" thickBot="1" x14ac:dyDescent="0.3">
      <c r="A167" s="469"/>
      <c r="B167" s="1124"/>
      <c r="C167" s="264"/>
      <c r="D167" s="1040">
        <v>1.93</v>
      </c>
      <c r="E167" s="1005"/>
      <c r="F167" s="877">
        <v>0</v>
      </c>
      <c r="G167" s="999"/>
      <c r="H167" s="293"/>
      <c r="I167" s="1014">
        <v>1.88</v>
      </c>
      <c r="J167" s="1015"/>
      <c r="K167" s="877">
        <v>0</v>
      </c>
      <c r="L167" s="999"/>
      <c r="M167" s="293"/>
      <c r="N167" s="1040">
        <v>1.51</v>
      </c>
      <c r="O167" s="1005"/>
      <c r="P167" s="877">
        <v>0</v>
      </c>
      <c r="Q167" s="999"/>
      <c r="R167" s="293"/>
      <c r="S167" s="1040">
        <v>4.12</v>
      </c>
      <c r="T167" s="1005"/>
      <c r="U167" s="877">
        <v>0</v>
      </c>
      <c r="V167" s="999"/>
      <c r="W167" s="293"/>
      <c r="X167" s="1014">
        <v>1.63</v>
      </c>
      <c r="Y167" s="1015"/>
      <c r="Z167" s="877">
        <v>0</v>
      </c>
      <c r="AA167" s="999"/>
      <c r="AB167" s="256"/>
      <c r="AC167" s="418"/>
    </row>
    <row r="168" spans="1:29" ht="10.15" customHeight="1" x14ac:dyDescent="0.25">
      <c r="A168" s="462"/>
      <c r="B168" s="1124"/>
      <c r="C168" s="264"/>
      <c r="D168" s="356"/>
      <c r="E168" s="356"/>
      <c r="F168" s="357"/>
      <c r="G168" s="357"/>
      <c r="H168" s="293"/>
      <c r="I168" s="356"/>
      <c r="J168" s="356"/>
      <c r="K168" s="357"/>
      <c r="L168" s="357"/>
      <c r="M168" s="293"/>
      <c r="N168" s="356"/>
      <c r="O168" s="356"/>
      <c r="P168" s="357"/>
      <c r="Q168" s="357"/>
      <c r="R168" s="293"/>
      <c r="S168" s="331"/>
      <c r="T168" s="331"/>
      <c r="U168" s="352"/>
      <c r="V168" s="352"/>
      <c r="W168" s="293"/>
      <c r="X168" s="331"/>
      <c r="Y168" s="331"/>
      <c r="Z168" s="352"/>
      <c r="AA168" s="352"/>
      <c r="AB168" s="256"/>
    </row>
    <row r="169" spans="1:29" ht="15" x14ac:dyDescent="0.25">
      <c r="A169" s="462"/>
      <c r="B169" s="1124"/>
      <c r="C169" s="289"/>
      <c r="D169" s="1102"/>
      <c r="E169" s="1103"/>
      <c r="F169" s="1103"/>
      <c r="G169" s="1103"/>
      <c r="H169" s="353"/>
      <c r="I169" s="792"/>
      <c r="J169" s="792"/>
      <c r="K169" s="792"/>
      <c r="L169" s="792"/>
      <c r="M169" s="353"/>
      <c r="N169" s="888"/>
      <c r="O169" s="889"/>
      <c r="P169" s="889"/>
      <c r="Q169" s="889"/>
      <c r="R169" s="343"/>
      <c r="S169" s="888"/>
      <c r="T169" s="889"/>
      <c r="U169" s="889"/>
      <c r="V169" s="889"/>
      <c r="W169" s="293"/>
      <c r="X169" s="814"/>
      <c r="Y169" s="814"/>
      <c r="Z169" s="814"/>
      <c r="AA169" s="814"/>
      <c r="AB169" s="256"/>
    </row>
    <row r="170" spans="1:29" ht="15" x14ac:dyDescent="0.25">
      <c r="A170" s="462"/>
      <c r="B170" s="1124"/>
      <c r="C170" s="289"/>
      <c r="D170" s="1103"/>
      <c r="E170" s="1104"/>
      <c r="F170" s="1104"/>
      <c r="G170" s="1103"/>
      <c r="H170" s="353"/>
      <c r="I170" s="1012"/>
      <c r="J170" s="1013"/>
      <c r="K170" s="1013"/>
      <c r="L170" s="1012"/>
      <c r="M170" s="353"/>
      <c r="N170" s="889"/>
      <c r="O170" s="890"/>
      <c r="P170" s="890"/>
      <c r="Q170" s="889"/>
      <c r="R170" s="343"/>
      <c r="S170" s="889"/>
      <c r="T170" s="890"/>
      <c r="U170" s="890"/>
      <c r="V170" s="889"/>
      <c r="W170" s="293"/>
      <c r="X170" s="814"/>
      <c r="Y170" s="814"/>
      <c r="Z170" s="814"/>
      <c r="AA170" s="814"/>
      <c r="AB170" s="256"/>
    </row>
    <row r="171" spans="1:29" ht="15" x14ac:dyDescent="0.25">
      <c r="A171" s="462"/>
      <c r="B171" s="1124"/>
      <c r="C171" s="289"/>
      <c r="D171" s="1103"/>
      <c r="E171" s="1104"/>
      <c r="F171" s="1104"/>
      <c r="G171" s="1103"/>
      <c r="H171" s="353"/>
      <c r="I171" s="1012"/>
      <c r="J171" s="1013"/>
      <c r="K171" s="1013"/>
      <c r="L171" s="1012"/>
      <c r="M171" s="353"/>
      <c r="N171" s="889"/>
      <c r="O171" s="890"/>
      <c r="P171" s="890"/>
      <c r="Q171" s="889"/>
      <c r="R171" s="343"/>
      <c r="S171" s="889"/>
      <c r="T171" s="890"/>
      <c r="U171" s="890"/>
      <c r="V171" s="889"/>
      <c r="W171" s="293"/>
      <c r="X171" s="814"/>
      <c r="Y171" s="814"/>
      <c r="Z171" s="814"/>
      <c r="AA171" s="814"/>
      <c r="AB171" s="256"/>
    </row>
    <row r="172" spans="1:29" ht="12" customHeight="1" x14ac:dyDescent="0.25">
      <c r="A172" s="462"/>
      <c r="B172" s="1124"/>
      <c r="C172" s="289"/>
      <c r="D172" s="1103"/>
      <c r="E172" s="1104"/>
      <c r="F172" s="1104"/>
      <c r="G172" s="1103"/>
      <c r="H172" s="353"/>
      <c r="I172" s="1012"/>
      <c r="J172" s="1013"/>
      <c r="K172" s="1013"/>
      <c r="L172" s="1012"/>
      <c r="M172" s="353"/>
      <c r="N172" s="889"/>
      <c r="O172" s="890"/>
      <c r="P172" s="890"/>
      <c r="Q172" s="889"/>
      <c r="R172" s="343"/>
      <c r="S172" s="889"/>
      <c r="T172" s="890"/>
      <c r="U172" s="890"/>
      <c r="V172" s="889"/>
      <c r="W172" s="293"/>
      <c r="X172" s="322"/>
      <c r="Y172" s="322"/>
      <c r="Z172" s="322"/>
      <c r="AA172" s="322"/>
      <c r="AB172" s="256"/>
    </row>
    <row r="173" spans="1:29" ht="15" x14ac:dyDescent="0.25">
      <c r="A173" s="462"/>
      <c r="B173" s="1124"/>
      <c r="C173" s="289"/>
      <c r="D173" s="1103"/>
      <c r="E173" s="1104"/>
      <c r="F173" s="1104"/>
      <c r="G173" s="1103"/>
      <c r="H173" s="353"/>
      <c r="I173" s="1012"/>
      <c r="J173" s="1013"/>
      <c r="K173" s="1013"/>
      <c r="L173" s="1012"/>
      <c r="M173" s="353"/>
      <c r="N173" s="889"/>
      <c r="O173" s="890"/>
      <c r="P173" s="890"/>
      <c r="Q173" s="889"/>
      <c r="R173" s="343"/>
      <c r="S173" s="889"/>
      <c r="T173" s="890"/>
      <c r="U173" s="890"/>
      <c r="V173" s="889"/>
      <c r="W173" s="293"/>
      <c r="X173" s="814"/>
      <c r="Y173" s="814"/>
      <c r="Z173" s="814"/>
      <c r="AA173" s="814"/>
      <c r="AB173" s="256"/>
    </row>
    <row r="174" spans="1:29" ht="15" x14ac:dyDescent="0.25">
      <c r="A174" s="462"/>
      <c r="B174" s="1124"/>
      <c r="C174" s="289"/>
      <c r="D174" s="1103"/>
      <c r="E174" s="1103"/>
      <c r="F174" s="1103"/>
      <c r="G174" s="1103"/>
      <c r="H174" s="353"/>
      <c r="I174" s="1012"/>
      <c r="J174" s="1012"/>
      <c r="K174" s="1012"/>
      <c r="L174" s="1012"/>
      <c r="M174" s="353"/>
      <c r="N174" s="889"/>
      <c r="O174" s="889"/>
      <c r="P174" s="889"/>
      <c r="Q174" s="889"/>
      <c r="R174" s="343"/>
      <c r="S174" s="889"/>
      <c r="T174" s="889"/>
      <c r="U174" s="889"/>
      <c r="V174" s="889"/>
      <c r="W174" s="293"/>
      <c r="X174" s="814"/>
      <c r="Y174" s="814"/>
      <c r="Z174" s="814"/>
      <c r="AA174" s="814"/>
      <c r="AB174" s="256"/>
    </row>
    <row r="175" spans="1:29" ht="15" x14ac:dyDescent="0.25">
      <c r="A175" s="462"/>
      <c r="B175" s="1124"/>
      <c r="C175" s="264"/>
      <c r="D175" s="1023" t="s">
        <v>255</v>
      </c>
      <c r="E175" s="1024"/>
      <c r="F175" s="1024"/>
      <c r="G175" s="1025"/>
      <c r="H175" s="293"/>
      <c r="I175" s="1023" t="s">
        <v>837</v>
      </c>
      <c r="J175" s="1024"/>
      <c r="K175" s="1024"/>
      <c r="L175" s="1025"/>
      <c r="M175" s="293"/>
      <c r="N175" s="1045" t="s">
        <v>838</v>
      </c>
      <c r="O175" s="1046"/>
      <c r="P175" s="1046"/>
      <c r="Q175" s="1047"/>
      <c r="R175" s="293"/>
      <c r="S175" s="1045" t="s">
        <v>288</v>
      </c>
      <c r="T175" s="1046"/>
      <c r="U175" s="1046"/>
      <c r="V175" s="1047"/>
      <c r="W175" s="293"/>
      <c r="X175" s="959"/>
      <c r="Y175" s="959"/>
      <c r="Z175" s="959"/>
      <c r="AA175" s="959"/>
      <c r="AB175" s="256"/>
    </row>
    <row r="176" spans="1:29" s="284" customFormat="1" ht="13.5" customHeight="1" x14ac:dyDescent="0.25">
      <c r="A176" s="470"/>
      <c r="B176" s="1124"/>
      <c r="C176" s="282"/>
      <c r="D176" s="1041" t="s">
        <v>401</v>
      </c>
      <c r="E176" s="1041"/>
      <c r="F176" s="1042"/>
      <c r="G176" s="1042"/>
      <c r="H176" s="347"/>
      <c r="I176" s="1041" t="s">
        <v>913</v>
      </c>
      <c r="J176" s="1041"/>
      <c r="K176" s="1042"/>
      <c r="L176" s="1042"/>
      <c r="M176" s="347"/>
      <c r="N176" s="1032" t="s">
        <v>914</v>
      </c>
      <c r="O176" s="1033"/>
      <c r="P176" s="1033"/>
      <c r="Q176" s="1034"/>
      <c r="R176" s="347"/>
      <c r="S176" s="1125" t="s">
        <v>402</v>
      </c>
      <c r="T176" s="1126"/>
      <c r="U176" s="1126"/>
      <c r="V176" s="1127"/>
      <c r="W176" s="347"/>
      <c r="X176" s="1050"/>
      <c r="Y176" s="1050"/>
      <c r="Z176" s="1050"/>
      <c r="AA176" s="1050"/>
      <c r="AB176" s="412"/>
      <c r="AC176" s="419"/>
    </row>
    <row r="177" spans="1:29" s="284" customFormat="1" ht="13.5" customHeight="1" thickBot="1" x14ac:dyDescent="0.3">
      <c r="A177" s="470"/>
      <c r="B177" s="1124"/>
      <c r="C177" s="282"/>
      <c r="D177" s="860" t="s">
        <v>591</v>
      </c>
      <c r="E177" s="861"/>
      <c r="F177" s="1010"/>
      <c r="G177" s="1011"/>
      <c r="H177" s="301"/>
      <c r="I177" s="860" t="s">
        <v>840</v>
      </c>
      <c r="J177" s="861"/>
      <c r="K177" s="1010"/>
      <c r="L177" s="1011"/>
      <c r="M177" s="301"/>
      <c r="N177" s="860" t="s">
        <v>841</v>
      </c>
      <c r="O177" s="861"/>
      <c r="P177" s="1010"/>
      <c r="Q177" s="1011"/>
      <c r="R177" s="301"/>
      <c r="S177" s="860" t="s">
        <v>592</v>
      </c>
      <c r="T177" s="861"/>
      <c r="U177" s="1010"/>
      <c r="V177" s="1011"/>
      <c r="W177" s="301"/>
      <c r="X177" s="1050"/>
      <c r="Y177" s="1050"/>
      <c r="Z177" s="1050"/>
      <c r="AA177" s="1050"/>
      <c r="AB177" s="285"/>
      <c r="AC177" s="419"/>
    </row>
    <row r="178" spans="1:29" s="199" customFormat="1" ht="16.149999999999999" customHeight="1" thickBot="1" x14ac:dyDescent="0.3">
      <c r="A178" s="469"/>
      <c r="B178" s="1124"/>
      <c r="C178" s="264"/>
      <c r="D178" s="1040">
        <v>1.53</v>
      </c>
      <c r="E178" s="1005"/>
      <c r="F178" s="877">
        <v>0</v>
      </c>
      <c r="G178" s="999"/>
      <c r="H178" s="293"/>
      <c r="I178" s="1040">
        <v>1.98</v>
      </c>
      <c r="J178" s="1005"/>
      <c r="K178" s="877">
        <v>0</v>
      </c>
      <c r="L178" s="999"/>
      <c r="M178" s="293"/>
      <c r="N178" s="1014">
        <v>2.41</v>
      </c>
      <c r="O178" s="1015"/>
      <c r="P178" s="877">
        <v>0</v>
      </c>
      <c r="Q178" s="999"/>
      <c r="R178" s="293"/>
      <c r="S178" s="1014">
        <v>2.06</v>
      </c>
      <c r="T178" s="1015"/>
      <c r="U178" s="877">
        <v>0</v>
      </c>
      <c r="V178" s="999"/>
      <c r="W178" s="293"/>
      <c r="X178" s="817"/>
      <c r="Y178" s="817"/>
      <c r="Z178" s="951"/>
      <c r="AA178" s="951"/>
      <c r="AB178" s="256"/>
      <c r="AC178" s="418"/>
    </row>
    <row r="179" spans="1:29" ht="27" customHeight="1" thickBot="1" x14ac:dyDescent="0.25">
      <c r="A179" s="462"/>
      <c r="B179" s="431"/>
      <c r="C179" s="264"/>
      <c r="D179" s="302"/>
      <c r="E179" s="302"/>
      <c r="F179" s="303"/>
      <c r="G179" s="303"/>
      <c r="H179" s="304"/>
      <c r="I179" s="302"/>
      <c r="J179" s="302"/>
      <c r="K179" s="303"/>
      <c r="L179" s="303"/>
      <c r="M179" s="304"/>
      <c r="N179" s="302"/>
      <c r="O179" s="302"/>
      <c r="P179" s="303"/>
      <c r="Q179" s="303"/>
      <c r="R179" s="304"/>
      <c r="S179" s="302"/>
      <c r="T179" s="302"/>
      <c r="U179" s="303"/>
      <c r="V179" s="303"/>
      <c r="W179" s="304"/>
      <c r="X179" s="302"/>
      <c r="Y179" s="302"/>
      <c r="Z179" s="303"/>
      <c r="AA179" s="303"/>
      <c r="AB179" s="254"/>
    </row>
    <row r="180" spans="1:29" s="190" customFormat="1" ht="27" customHeight="1" thickTop="1" x14ac:dyDescent="0.3">
      <c r="A180" s="463"/>
      <c r="B180" s="269"/>
      <c r="C180" s="269"/>
      <c r="D180" s="850" t="s">
        <v>555</v>
      </c>
      <c r="E180" s="850"/>
      <c r="F180" s="850"/>
      <c r="G180" s="850"/>
      <c r="H180" s="850"/>
      <c r="I180" s="850"/>
      <c r="J180" s="850"/>
      <c r="K180" s="850"/>
      <c r="L180" s="850"/>
      <c r="M180" s="850"/>
      <c r="N180" s="850"/>
      <c r="O180" s="850"/>
      <c r="P180" s="850"/>
      <c r="Q180" s="850"/>
      <c r="R180" s="850"/>
      <c r="S180" s="850"/>
      <c r="T180" s="850"/>
      <c r="U180" s="850"/>
      <c r="V180" s="850"/>
      <c r="W180" s="850"/>
      <c r="X180" s="850"/>
      <c r="Y180" s="850"/>
      <c r="Z180" s="850"/>
      <c r="AA180" s="850"/>
      <c r="AB180" s="269"/>
      <c r="AC180" s="414"/>
    </row>
    <row r="181" spans="1:29" s="190" customFormat="1" ht="27" customHeight="1" x14ac:dyDescent="0.3">
      <c r="A181" s="463"/>
      <c r="B181" s="254"/>
      <c r="C181" s="254"/>
      <c r="D181" s="331"/>
      <c r="E181" s="331"/>
      <c r="F181" s="352"/>
      <c r="G181" s="352"/>
      <c r="H181" s="293"/>
      <c r="I181" s="331"/>
      <c r="J181" s="331"/>
      <c r="K181" s="352"/>
      <c r="L181" s="352"/>
      <c r="M181" s="293"/>
      <c r="N181" s="331"/>
      <c r="O181" s="331"/>
      <c r="P181" s="352"/>
      <c r="Q181" s="352"/>
      <c r="R181" s="293"/>
      <c r="S181" s="331"/>
      <c r="T181" s="331"/>
      <c r="U181" s="352"/>
      <c r="V181" s="352"/>
      <c r="W181" s="293"/>
      <c r="X181" s="331"/>
      <c r="Y181" s="331"/>
      <c r="Z181" s="352"/>
      <c r="AA181" s="352"/>
      <c r="AB181" s="254"/>
      <c r="AC181" s="414"/>
    </row>
    <row r="182" spans="1:29" ht="14.25" x14ac:dyDescent="0.2">
      <c r="A182" s="462"/>
      <c r="B182" s="254"/>
      <c r="C182" s="254"/>
      <c r="D182" s="788"/>
      <c r="E182" s="789"/>
      <c r="F182" s="789"/>
      <c r="G182" s="790"/>
      <c r="H182" s="293"/>
      <c r="I182" s="788"/>
      <c r="J182" s="789"/>
      <c r="K182" s="789"/>
      <c r="L182" s="790"/>
      <c r="M182" s="293"/>
      <c r="N182" s="788"/>
      <c r="O182" s="789"/>
      <c r="P182" s="789"/>
      <c r="Q182" s="790"/>
      <c r="R182" s="293"/>
      <c r="S182" s="788"/>
      <c r="T182" s="789"/>
      <c r="U182" s="789"/>
      <c r="V182" s="790"/>
      <c r="W182" s="293"/>
      <c r="X182" s="788"/>
      <c r="Y182" s="789"/>
      <c r="Z182" s="789"/>
      <c r="AA182" s="790"/>
      <c r="AB182" s="254"/>
    </row>
    <row r="183" spans="1:29" ht="12" customHeight="1" x14ac:dyDescent="0.2">
      <c r="A183" s="462"/>
      <c r="B183" s="254"/>
      <c r="C183" s="254"/>
      <c r="D183" s="791"/>
      <c r="E183" s="792"/>
      <c r="F183" s="792"/>
      <c r="G183" s="793"/>
      <c r="H183" s="293"/>
      <c r="I183" s="791"/>
      <c r="J183" s="792"/>
      <c r="K183" s="792"/>
      <c r="L183" s="793"/>
      <c r="M183" s="293"/>
      <c r="N183" s="791"/>
      <c r="O183" s="792"/>
      <c r="P183" s="792"/>
      <c r="Q183" s="793"/>
      <c r="R183" s="293"/>
      <c r="S183" s="791"/>
      <c r="T183" s="792"/>
      <c r="U183" s="792"/>
      <c r="V183" s="793"/>
      <c r="W183" s="293"/>
      <c r="X183" s="791"/>
      <c r="Y183" s="792"/>
      <c r="Z183" s="792"/>
      <c r="AA183" s="793"/>
      <c r="AB183" s="254"/>
    </row>
    <row r="184" spans="1:29" ht="13.5" customHeight="1" x14ac:dyDescent="0.2">
      <c r="A184" s="462"/>
      <c r="B184" s="254"/>
      <c r="C184" s="254"/>
      <c r="D184" s="316"/>
      <c r="E184" s="317"/>
      <c r="F184" s="317"/>
      <c r="G184" s="318"/>
      <c r="H184" s="293"/>
      <c r="I184" s="316"/>
      <c r="J184" s="317"/>
      <c r="K184" s="317"/>
      <c r="L184" s="318"/>
      <c r="M184" s="293"/>
      <c r="N184" s="316"/>
      <c r="O184" s="317"/>
      <c r="P184" s="317"/>
      <c r="Q184" s="318"/>
      <c r="R184" s="293"/>
      <c r="S184" s="316"/>
      <c r="T184" s="317"/>
      <c r="U184" s="317"/>
      <c r="V184" s="318"/>
      <c r="W184" s="293"/>
      <c r="X184" s="316"/>
      <c r="Y184" s="317"/>
      <c r="Z184" s="317"/>
      <c r="AA184" s="318"/>
      <c r="AB184" s="254"/>
    </row>
    <row r="185" spans="1:29" ht="13.5" customHeight="1" x14ac:dyDescent="0.2">
      <c r="A185" s="462"/>
      <c r="B185" s="254"/>
      <c r="C185" s="254"/>
      <c r="D185" s="791"/>
      <c r="E185" s="792"/>
      <c r="F185" s="792"/>
      <c r="G185" s="793"/>
      <c r="H185" s="293"/>
      <c r="I185" s="791"/>
      <c r="J185" s="792"/>
      <c r="K185" s="792"/>
      <c r="L185" s="793"/>
      <c r="M185" s="293"/>
      <c r="N185" s="791"/>
      <c r="O185" s="792"/>
      <c r="P185" s="792"/>
      <c r="Q185" s="793"/>
      <c r="R185" s="293"/>
      <c r="S185" s="791"/>
      <c r="T185" s="792"/>
      <c r="U185" s="792"/>
      <c r="V185" s="793"/>
      <c r="W185" s="293"/>
      <c r="X185" s="791"/>
      <c r="Y185" s="792"/>
      <c r="Z185" s="792"/>
      <c r="AA185" s="793"/>
      <c r="AB185" s="254"/>
    </row>
    <row r="186" spans="1:29" ht="13.5" customHeight="1" x14ac:dyDescent="0.2">
      <c r="A186" s="462"/>
      <c r="B186" s="254"/>
      <c r="C186" s="254"/>
      <c r="D186" s="791"/>
      <c r="E186" s="792"/>
      <c r="F186" s="792"/>
      <c r="G186" s="793"/>
      <c r="H186" s="293"/>
      <c r="I186" s="791"/>
      <c r="J186" s="792"/>
      <c r="K186" s="792"/>
      <c r="L186" s="793"/>
      <c r="M186" s="293"/>
      <c r="N186" s="791"/>
      <c r="O186" s="792"/>
      <c r="P186" s="792"/>
      <c r="Q186" s="793"/>
      <c r="R186" s="293"/>
      <c r="S186" s="791"/>
      <c r="T186" s="792"/>
      <c r="U186" s="792"/>
      <c r="V186" s="793"/>
      <c r="W186" s="293"/>
      <c r="X186" s="791"/>
      <c r="Y186" s="792"/>
      <c r="Z186" s="792"/>
      <c r="AA186" s="793"/>
      <c r="AB186" s="254"/>
    </row>
    <row r="187" spans="1:29" ht="13.5" customHeight="1" x14ac:dyDescent="0.2">
      <c r="A187" s="462"/>
      <c r="B187" s="254"/>
      <c r="C187" s="254"/>
      <c r="D187" s="791"/>
      <c r="E187" s="792"/>
      <c r="F187" s="792"/>
      <c r="G187" s="793"/>
      <c r="H187" s="293"/>
      <c r="I187" s="791"/>
      <c r="J187" s="792"/>
      <c r="K187" s="792"/>
      <c r="L187" s="793"/>
      <c r="M187" s="293"/>
      <c r="N187" s="791"/>
      <c r="O187" s="792"/>
      <c r="P187" s="792"/>
      <c r="Q187" s="793"/>
      <c r="R187" s="293"/>
      <c r="S187" s="791"/>
      <c r="T187" s="792"/>
      <c r="U187" s="792"/>
      <c r="V187" s="793"/>
      <c r="W187" s="293"/>
      <c r="X187" s="791"/>
      <c r="Y187" s="792"/>
      <c r="Z187" s="792"/>
      <c r="AA187" s="793"/>
      <c r="AB187" s="254"/>
    </row>
    <row r="188" spans="1:29" ht="13.5" customHeight="1" x14ac:dyDescent="0.25">
      <c r="A188" s="462"/>
      <c r="B188" s="254"/>
      <c r="C188" s="254"/>
      <c r="D188" s="1020" t="s">
        <v>294</v>
      </c>
      <c r="E188" s="1021"/>
      <c r="F188" s="1021"/>
      <c r="G188" s="1022"/>
      <c r="H188" s="293"/>
      <c r="I188" s="1020" t="s">
        <v>295</v>
      </c>
      <c r="J188" s="1021"/>
      <c r="K188" s="1021"/>
      <c r="L188" s="1022"/>
      <c r="M188" s="293"/>
      <c r="N188" s="1020" t="s">
        <v>296</v>
      </c>
      <c r="O188" s="1021"/>
      <c r="P188" s="1021"/>
      <c r="Q188" s="1022"/>
      <c r="R188" s="293"/>
      <c r="S188" s="1020" t="s">
        <v>297</v>
      </c>
      <c r="T188" s="1021"/>
      <c r="U188" s="1021"/>
      <c r="V188" s="1022"/>
      <c r="W188" s="293"/>
      <c r="X188" s="1020" t="s">
        <v>298</v>
      </c>
      <c r="Y188" s="1021"/>
      <c r="Z188" s="1021"/>
      <c r="AA188" s="1022"/>
      <c r="AB188" s="254"/>
    </row>
    <row r="189" spans="1:29" ht="16.149999999999999" customHeight="1" x14ac:dyDescent="0.25">
      <c r="A189" s="462"/>
      <c r="B189" s="256"/>
      <c r="C189" s="256"/>
      <c r="D189" s="904">
        <v>0.66</v>
      </c>
      <c r="E189" s="905"/>
      <c r="F189" s="949">
        <v>0</v>
      </c>
      <c r="G189" s="950"/>
      <c r="H189" s="293"/>
      <c r="I189" s="904">
        <v>1.08</v>
      </c>
      <c r="J189" s="905"/>
      <c r="K189" s="949">
        <v>0</v>
      </c>
      <c r="L189" s="950"/>
      <c r="M189" s="293"/>
      <c r="N189" s="904">
        <v>1.1399999999999999</v>
      </c>
      <c r="O189" s="905"/>
      <c r="P189" s="949">
        <v>0</v>
      </c>
      <c r="Q189" s="950"/>
      <c r="R189" s="293"/>
      <c r="S189" s="904">
        <v>1.02</v>
      </c>
      <c r="T189" s="905"/>
      <c r="U189" s="949">
        <v>0</v>
      </c>
      <c r="V189" s="950"/>
      <c r="W189" s="293"/>
      <c r="X189" s="904">
        <v>0.62</v>
      </c>
      <c r="Y189" s="905"/>
      <c r="Z189" s="949">
        <v>0</v>
      </c>
      <c r="AA189" s="950"/>
      <c r="AB189" s="256"/>
    </row>
    <row r="190" spans="1:29" s="486" customFormat="1" ht="16.149999999999999" customHeight="1" x14ac:dyDescent="0.2">
      <c r="A190" s="482"/>
      <c r="B190" s="575"/>
      <c r="C190" s="575"/>
      <c r="D190" s="611">
        <f>D189*G190</f>
        <v>148.5</v>
      </c>
      <c r="E190" s="578"/>
      <c r="F190" s="579" t="s">
        <v>291</v>
      </c>
      <c r="G190" s="580">
        <v>225</v>
      </c>
      <c r="H190" s="563"/>
      <c r="I190" s="611">
        <f>I189*L190</f>
        <v>162</v>
      </c>
      <c r="J190" s="578"/>
      <c r="K190" s="579" t="s">
        <v>291</v>
      </c>
      <c r="L190" s="580">
        <v>150</v>
      </c>
      <c r="M190" s="563"/>
      <c r="N190" s="611">
        <f>N189*Q190</f>
        <v>68.399999999999991</v>
      </c>
      <c r="O190" s="578"/>
      <c r="P190" s="579" t="s">
        <v>291</v>
      </c>
      <c r="Q190" s="580">
        <v>60</v>
      </c>
      <c r="R190" s="563"/>
      <c r="S190" s="611">
        <f>S189*V190</f>
        <v>153</v>
      </c>
      <c r="T190" s="578"/>
      <c r="U190" s="579" t="s">
        <v>291</v>
      </c>
      <c r="V190" s="580">
        <v>150</v>
      </c>
      <c r="W190" s="563"/>
      <c r="X190" s="611">
        <f>X189*AA190</f>
        <v>139.5</v>
      </c>
      <c r="Y190" s="578"/>
      <c r="Z190" s="579" t="s">
        <v>291</v>
      </c>
      <c r="AA190" s="580">
        <v>225</v>
      </c>
      <c r="AB190" s="575"/>
      <c r="AC190" s="485"/>
    </row>
    <row r="191" spans="1:29" s="193" customFormat="1" ht="10.15" customHeight="1" x14ac:dyDescent="0.2">
      <c r="A191" s="465"/>
      <c r="B191" s="255"/>
      <c r="C191" s="255"/>
      <c r="D191" s="319"/>
      <c r="E191" s="319"/>
      <c r="F191" s="325"/>
      <c r="G191" s="321"/>
      <c r="H191" s="293"/>
      <c r="I191" s="319"/>
      <c r="J191" s="319"/>
      <c r="K191" s="325"/>
      <c r="L191" s="321"/>
      <c r="M191" s="293"/>
      <c r="N191" s="319"/>
      <c r="O191" s="319"/>
      <c r="P191" s="325"/>
      <c r="Q191" s="321"/>
      <c r="R191" s="293"/>
      <c r="S191" s="319"/>
      <c r="T191" s="319"/>
      <c r="U191" s="325"/>
      <c r="V191" s="321"/>
      <c r="W191" s="293"/>
      <c r="X191" s="319"/>
      <c r="Y191" s="319"/>
      <c r="Z191" s="325"/>
      <c r="AA191" s="321"/>
      <c r="AB191" s="255"/>
      <c r="AC191" s="395"/>
    </row>
    <row r="192" spans="1:29" s="197" customFormat="1" ht="14.65" customHeight="1" x14ac:dyDescent="0.2">
      <c r="A192" s="467"/>
      <c r="B192" s="254"/>
      <c r="C192" s="254"/>
      <c r="D192" s="803"/>
      <c r="E192" s="804"/>
      <c r="F192" s="804"/>
      <c r="G192" s="805"/>
      <c r="H192" s="293"/>
      <c r="I192" s="803"/>
      <c r="J192" s="804"/>
      <c r="K192" s="804"/>
      <c r="L192" s="805"/>
      <c r="M192" s="293"/>
      <c r="N192" s="803"/>
      <c r="O192" s="804"/>
      <c r="P192" s="804"/>
      <c r="Q192" s="805"/>
      <c r="R192" s="293"/>
      <c r="S192" s="803"/>
      <c r="T192" s="804"/>
      <c r="U192" s="804"/>
      <c r="V192" s="805"/>
      <c r="W192" s="293"/>
      <c r="X192" s="803"/>
      <c r="Y192" s="804"/>
      <c r="Z192" s="804"/>
      <c r="AA192" s="805"/>
      <c r="AB192" s="254"/>
      <c r="AC192" s="416"/>
    </row>
    <row r="193" spans="1:29" ht="13.5" customHeight="1" x14ac:dyDescent="0.2">
      <c r="A193" s="462"/>
      <c r="B193" s="254"/>
      <c r="C193" s="254"/>
      <c r="D193" s="774"/>
      <c r="E193" s="775"/>
      <c r="F193" s="775"/>
      <c r="G193" s="776"/>
      <c r="H193" s="293"/>
      <c r="I193" s="774"/>
      <c r="J193" s="775"/>
      <c r="K193" s="775"/>
      <c r="L193" s="776"/>
      <c r="M193" s="293"/>
      <c r="N193" s="774"/>
      <c r="O193" s="775"/>
      <c r="P193" s="775"/>
      <c r="Q193" s="776"/>
      <c r="R193" s="293"/>
      <c r="S193" s="774"/>
      <c r="T193" s="775"/>
      <c r="U193" s="775"/>
      <c r="V193" s="776"/>
      <c r="W193" s="293"/>
      <c r="X193" s="854"/>
      <c r="Y193" s="855"/>
      <c r="Z193" s="855"/>
      <c r="AA193" s="856"/>
      <c r="AB193" s="254"/>
    </row>
    <row r="194" spans="1:29" s="188" customFormat="1" ht="13.5" customHeight="1" x14ac:dyDescent="0.2">
      <c r="A194" s="254"/>
      <c r="B194" s="254"/>
      <c r="C194" s="254"/>
      <c r="D194" s="334"/>
      <c r="E194" s="335"/>
      <c r="F194" s="335"/>
      <c r="G194" s="336"/>
      <c r="H194" s="293"/>
      <c r="I194" s="334"/>
      <c r="J194" s="335"/>
      <c r="K194" s="335"/>
      <c r="L194" s="336"/>
      <c r="M194" s="293"/>
      <c r="N194" s="632"/>
      <c r="O194" s="633"/>
      <c r="P194" s="633"/>
      <c r="Q194" s="634"/>
      <c r="R194" s="293"/>
      <c r="S194" s="334"/>
      <c r="T194" s="335"/>
      <c r="U194" s="335"/>
      <c r="V194" s="336"/>
      <c r="W194" s="293"/>
      <c r="X194" s="854"/>
      <c r="Y194" s="855"/>
      <c r="Z194" s="855"/>
      <c r="AA194" s="856"/>
      <c r="AB194" s="254"/>
      <c r="AC194" s="206"/>
    </row>
    <row r="195" spans="1:29" ht="14.25" x14ac:dyDescent="0.2">
      <c r="A195" s="462"/>
      <c r="B195" s="254"/>
      <c r="C195" s="254"/>
      <c r="D195" s="774"/>
      <c r="E195" s="775"/>
      <c r="F195" s="775"/>
      <c r="G195" s="776"/>
      <c r="H195" s="293"/>
      <c r="I195" s="774"/>
      <c r="J195" s="775"/>
      <c r="K195" s="775"/>
      <c r="L195" s="776"/>
      <c r="M195" s="293"/>
      <c r="N195" s="774"/>
      <c r="O195" s="775"/>
      <c r="P195" s="775"/>
      <c r="Q195" s="776"/>
      <c r="R195" s="293"/>
      <c r="S195" s="774"/>
      <c r="T195" s="775"/>
      <c r="U195" s="775"/>
      <c r="V195" s="776"/>
      <c r="W195" s="293"/>
      <c r="X195" s="854"/>
      <c r="Y195" s="855"/>
      <c r="Z195" s="855"/>
      <c r="AA195" s="856"/>
      <c r="AB195" s="254"/>
    </row>
    <row r="196" spans="1:29" ht="14.25" x14ac:dyDescent="0.2">
      <c r="A196" s="462"/>
      <c r="B196" s="254"/>
      <c r="C196" s="254"/>
      <c r="D196" s="774"/>
      <c r="E196" s="775"/>
      <c r="F196" s="775"/>
      <c r="G196" s="776"/>
      <c r="H196" s="293"/>
      <c r="I196" s="774"/>
      <c r="J196" s="775"/>
      <c r="K196" s="775"/>
      <c r="L196" s="776"/>
      <c r="M196" s="293"/>
      <c r="N196" s="774"/>
      <c r="O196" s="775"/>
      <c r="P196" s="775"/>
      <c r="Q196" s="776"/>
      <c r="R196" s="293"/>
      <c r="S196" s="774"/>
      <c r="T196" s="775"/>
      <c r="U196" s="775"/>
      <c r="V196" s="776"/>
      <c r="W196" s="293"/>
      <c r="X196" s="854"/>
      <c r="Y196" s="855"/>
      <c r="Z196" s="855"/>
      <c r="AA196" s="856"/>
      <c r="AB196" s="254"/>
    </row>
    <row r="197" spans="1:29" ht="14.25" x14ac:dyDescent="0.2">
      <c r="A197" s="462"/>
      <c r="B197" s="254"/>
      <c r="C197" s="254"/>
      <c r="D197" s="774"/>
      <c r="E197" s="775"/>
      <c r="F197" s="775"/>
      <c r="G197" s="776"/>
      <c r="H197" s="293"/>
      <c r="I197" s="774"/>
      <c r="J197" s="775"/>
      <c r="K197" s="775"/>
      <c r="L197" s="776"/>
      <c r="M197" s="293"/>
      <c r="N197" s="774"/>
      <c r="O197" s="775"/>
      <c r="P197" s="775"/>
      <c r="Q197" s="776"/>
      <c r="R197" s="293"/>
      <c r="S197" s="774"/>
      <c r="T197" s="775"/>
      <c r="U197" s="775"/>
      <c r="V197" s="776"/>
      <c r="W197" s="293"/>
      <c r="X197" s="854"/>
      <c r="Y197" s="855"/>
      <c r="Z197" s="855"/>
      <c r="AA197" s="856"/>
      <c r="AB197" s="254"/>
    </row>
    <row r="198" spans="1:29" ht="15" x14ac:dyDescent="0.25">
      <c r="A198" s="462"/>
      <c r="B198" s="254"/>
      <c r="C198" s="254"/>
      <c r="D198" s="1020" t="s">
        <v>299</v>
      </c>
      <c r="E198" s="1021"/>
      <c r="F198" s="1021"/>
      <c r="G198" s="1022"/>
      <c r="H198" s="293"/>
      <c r="I198" s="1020" t="s">
        <v>531</v>
      </c>
      <c r="J198" s="1021"/>
      <c r="K198" s="1021"/>
      <c r="L198" s="1022"/>
      <c r="M198" s="293"/>
      <c r="N198" s="1020" t="s">
        <v>300</v>
      </c>
      <c r="O198" s="1021"/>
      <c r="P198" s="1021"/>
      <c r="Q198" s="1022"/>
      <c r="R198" s="293"/>
      <c r="S198" s="1027" t="s">
        <v>532</v>
      </c>
      <c r="T198" s="1028"/>
      <c r="U198" s="1028"/>
      <c r="V198" s="1029"/>
      <c r="W198" s="293"/>
      <c r="X198" s="1027" t="s">
        <v>553</v>
      </c>
      <c r="Y198" s="1028"/>
      <c r="Z198" s="1028"/>
      <c r="AA198" s="1029"/>
      <c r="AB198" s="254"/>
    </row>
    <row r="199" spans="1:29" ht="16.149999999999999" customHeight="1" x14ac:dyDescent="0.25">
      <c r="A199" s="462"/>
      <c r="B199" s="254"/>
      <c r="C199" s="254"/>
      <c r="D199" s="904">
        <v>0.62</v>
      </c>
      <c r="E199" s="905"/>
      <c r="F199" s="949">
        <v>0</v>
      </c>
      <c r="G199" s="950"/>
      <c r="H199" s="293"/>
      <c r="I199" s="904">
        <v>0.8</v>
      </c>
      <c r="J199" s="905"/>
      <c r="K199" s="949">
        <v>0</v>
      </c>
      <c r="L199" s="950"/>
      <c r="M199" s="293"/>
      <c r="N199" s="904">
        <v>0.66</v>
      </c>
      <c r="O199" s="905"/>
      <c r="P199" s="949">
        <v>0</v>
      </c>
      <c r="Q199" s="950"/>
      <c r="R199" s="293"/>
      <c r="S199" s="904">
        <v>0.9</v>
      </c>
      <c r="T199" s="905"/>
      <c r="U199" s="949">
        <v>0</v>
      </c>
      <c r="V199" s="950"/>
      <c r="W199" s="293"/>
      <c r="X199" s="904">
        <v>1.05</v>
      </c>
      <c r="Y199" s="905"/>
      <c r="Z199" s="949">
        <v>0</v>
      </c>
      <c r="AA199" s="950"/>
      <c r="AB199" s="254"/>
    </row>
    <row r="200" spans="1:29" s="486" customFormat="1" ht="16.149999999999999" customHeight="1" x14ac:dyDescent="0.2">
      <c r="A200" s="482"/>
      <c r="B200" s="575"/>
      <c r="C200" s="575"/>
      <c r="D200" s="611">
        <f>D199*G200</f>
        <v>139.5</v>
      </c>
      <c r="E200" s="578"/>
      <c r="F200" s="579" t="s">
        <v>291</v>
      </c>
      <c r="G200" s="580">
        <v>225</v>
      </c>
      <c r="H200" s="563"/>
      <c r="I200" s="611">
        <f>I199*L200</f>
        <v>144</v>
      </c>
      <c r="J200" s="578"/>
      <c r="K200" s="579" t="s">
        <v>291</v>
      </c>
      <c r="L200" s="580">
        <v>180</v>
      </c>
      <c r="M200" s="563"/>
      <c r="N200" s="611">
        <f>N199*Q200</f>
        <v>99</v>
      </c>
      <c r="O200" s="578"/>
      <c r="P200" s="579" t="s">
        <v>291</v>
      </c>
      <c r="Q200" s="580">
        <v>150</v>
      </c>
      <c r="R200" s="563"/>
      <c r="S200" s="611">
        <f>S199*V200</f>
        <v>202.5</v>
      </c>
      <c r="T200" s="578"/>
      <c r="U200" s="579" t="s">
        <v>291</v>
      </c>
      <c r="V200" s="580">
        <v>225</v>
      </c>
      <c r="W200" s="563"/>
      <c r="X200" s="614">
        <f>X199*AA200</f>
        <v>189</v>
      </c>
      <c r="Y200" s="591"/>
      <c r="Z200" s="592" t="s">
        <v>291</v>
      </c>
      <c r="AA200" s="593">
        <v>180</v>
      </c>
      <c r="AB200" s="575"/>
      <c r="AC200" s="485"/>
    </row>
    <row r="201" spans="1:29" ht="10.15" customHeight="1" x14ac:dyDescent="0.2">
      <c r="A201" s="462"/>
      <c r="B201" s="254"/>
      <c r="C201" s="254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254"/>
    </row>
    <row r="202" spans="1:29" ht="13.5" customHeight="1" x14ac:dyDescent="0.2">
      <c r="A202" s="462"/>
      <c r="B202" s="254"/>
      <c r="C202" s="254"/>
      <c r="D202" s="803"/>
      <c r="E202" s="804"/>
      <c r="F202" s="804"/>
      <c r="G202" s="805"/>
      <c r="H202" s="293"/>
      <c r="I202" s="803"/>
      <c r="J202" s="804"/>
      <c r="K202" s="804"/>
      <c r="L202" s="805"/>
      <c r="M202" s="293"/>
      <c r="N202" s="803"/>
      <c r="O202" s="804"/>
      <c r="P202" s="804"/>
      <c r="Q202" s="805"/>
      <c r="R202" s="293"/>
      <c r="S202" s="803"/>
      <c r="T202" s="804"/>
      <c r="U202" s="804"/>
      <c r="V202" s="805"/>
      <c r="W202" s="293"/>
      <c r="X202" s="803"/>
      <c r="Y202" s="804"/>
      <c r="Z202" s="804"/>
      <c r="AA202" s="805"/>
      <c r="AB202" s="254"/>
    </row>
    <row r="203" spans="1:29" ht="13.5" customHeight="1" x14ac:dyDescent="0.2">
      <c r="A203" s="462"/>
      <c r="B203" s="254"/>
      <c r="C203" s="254"/>
      <c r="D203" s="854"/>
      <c r="E203" s="855"/>
      <c r="F203" s="855"/>
      <c r="G203" s="856"/>
      <c r="H203" s="293"/>
      <c r="I203" s="774"/>
      <c r="J203" s="775"/>
      <c r="K203" s="775"/>
      <c r="L203" s="776"/>
      <c r="M203" s="293"/>
      <c r="N203" s="774"/>
      <c r="O203" s="775"/>
      <c r="P203" s="775"/>
      <c r="Q203" s="776"/>
      <c r="R203" s="293"/>
      <c r="S203" s="774"/>
      <c r="T203" s="775"/>
      <c r="U203" s="775"/>
      <c r="V203" s="776"/>
      <c r="W203" s="293"/>
      <c r="X203" s="774"/>
      <c r="Y203" s="775"/>
      <c r="Z203" s="775"/>
      <c r="AA203" s="776"/>
      <c r="AB203" s="254"/>
    </row>
    <row r="204" spans="1:29" ht="13.5" customHeight="1" x14ac:dyDescent="0.2">
      <c r="A204" s="462"/>
      <c r="B204" s="254"/>
      <c r="C204" s="254"/>
      <c r="D204" s="854"/>
      <c r="E204" s="855"/>
      <c r="F204" s="855"/>
      <c r="G204" s="856"/>
      <c r="H204" s="293"/>
      <c r="I204" s="632"/>
      <c r="J204" s="633"/>
      <c r="K204" s="633"/>
      <c r="L204" s="634"/>
      <c r="M204" s="293"/>
      <c r="N204" s="334"/>
      <c r="O204" s="335"/>
      <c r="P204" s="335"/>
      <c r="Q204" s="336"/>
      <c r="R204" s="293"/>
      <c r="S204" s="334"/>
      <c r="T204" s="335"/>
      <c r="U204" s="335"/>
      <c r="V204" s="336"/>
      <c r="W204" s="293"/>
      <c r="X204" s="334"/>
      <c r="Y204" s="335"/>
      <c r="Z204" s="335"/>
      <c r="AA204" s="336"/>
      <c r="AB204" s="254"/>
    </row>
    <row r="205" spans="1:29" ht="13.5" customHeight="1" x14ac:dyDescent="0.2">
      <c r="A205" s="462"/>
      <c r="B205" s="254"/>
      <c r="C205" s="254"/>
      <c r="D205" s="854"/>
      <c r="E205" s="855"/>
      <c r="F205" s="855"/>
      <c r="G205" s="856"/>
      <c r="H205" s="293"/>
      <c r="I205" s="774"/>
      <c r="J205" s="775"/>
      <c r="K205" s="775"/>
      <c r="L205" s="776"/>
      <c r="M205" s="293"/>
      <c r="N205" s="774"/>
      <c r="O205" s="775"/>
      <c r="P205" s="775"/>
      <c r="Q205" s="776"/>
      <c r="R205" s="293"/>
      <c r="S205" s="774"/>
      <c r="T205" s="775"/>
      <c r="U205" s="775"/>
      <c r="V205" s="776"/>
      <c r="W205" s="293"/>
      <c r="X205" s="774"/>
      <c r="Y205" s="775"/>
      <c r="Z205" s="775"/>
      <c r="AA205" s="776"/>
      <c r="AB205" s="254"/>
    </row>
    <row r="206" spans="1:29" ht="13.5" customHeight="1" x14ac:dyDescent="0.2">
      <c r="A206" s="462"/>
      <c r="B206" s="254"/>
      <c r="C206" s="254"/>
      <c r="D206" s="854"/>
      <c r="E206" s="855"/>
      <c r="F206" s="855"/>
      <c r="G206" s="856"/>
      <c r="H206" s="293"/>
      <c r="I206" s="774"/>
      <c r="J206" s="775"/>
      <c r="K206" s="775"/>
      <c r="L206" s="776"/>
      <c r="M206" s="293"/>
      <c r="N206" s="774"/>
      <c r="O206" s="775"/>
      <c r="P206" s="775"/>
      <c r="Q206" s="776"/>
      <c r="R206" s="293"/>
      <c r="S206" s="774"/>
      <c r="T206" s="775"/>
      <c r="U206" s="775"/>
      <c r="V206" s="776"/>
      <c r="W206" s="293"/>
      <c r="X206" s="774"/>
      <c r="Y206" s="775"/>
      <c r="Z206" s="775"/>
      <c r="AA206" s="776"/>
      <c r="AB206" s="254"/>
    </row>
    <row r="207" spans="1:29" ht="13.5" customHeight="1" x14ac:dyDescent="0.2">
      <c r="A207" s="462"/>
      <c r="B207" s="254"/>
      <c r="C207" s="254"/>
      <c r="D207" s="854"/>
      <c r="E207" s="855"/>
      <c r="F207" s="855"/>
      <c r="G207" s="856"/>
      <c r="H207" s="293"/>
      <c r="I207" s="774"/>
      <c r="J207" s="775"/>
      <c r="K207" s="775"/>
      <c r="L207" s="776"/>
      <c r="M207" s="293"/>
      <c r="N207" s="774"/>
      <c r="O207" s="775"/>
      <c r="P207" s="775"/>
      <c r="Q207" s="776"/>
      <c r="R207" s="293"/>
      <c r="S207" s="774"/>
      <c r="T207" s="775"/>
      <c r="U207" s="775"/>
      <c r="V207" s="776"/>
      <c r="W207" s="293"/>
      <c r="X207" s="774"/>
      <c r="Y207" s="775"/>
      <c r="Z207" s="775"/>
      <c r="AA207" s="776"/>
      <c r="AB207" s="254"/>
    </row>
    <row r="208" spans="1:29" ht="13.5" customHeight="1" x14ac:dyDescent="0.25">
      <c r="A208" s="462"/>
      <c r="B208" s="254"/>
      <c r="C208" s="254"/>
      <c r="D208" s="1020" t="s">
        <v>529</v>
      </c>
      <c r="E208" s="1021"/>
      <c r="F208" s="1021"/>
      <c r="G208" s="1022"/>
      <c r="H208" s="293"/>
      <c r="I208" s="1027" t="s">
        <v>443</v>
      </c>
      <c r="J208" s="1028"/>
      <c r="K208" s="1028"/>
      <c r="L208" s="1029"/>
      <c r="M208" s="293"/>
      <c r="N208" s="1027" t="s">
        <v>301</v>
      </c>
      <c r="O208" s="1028"/>
      <c r="P208" s="1028"/>
      <c r="Q208" s="1029"/>
      <c r="R208" s="293"/>
      <c r="S208" s="1027" t="s">
        <v>530</v>
      </c>
      <c r="T208" s="1028"/>
      <c r="U208" s="1028"/>
      <c r="V208" s="1029"/>
      <c r="W208" s="293"/>
      <c r="X208" s="1027" t="s">
        <v>444</v>
      </c>
      <c r="Y208" s="1028"/>
      <c r="Z208" s="1028"/>
      <c r="AA208" s="1029"/>
      <c r="AB208" s="254"/>
    </row>
    <row r="209" spans="1:29" ht="15.95" customHeight="1" x14ac:dyDescent="0.25">
      <c r="A209" s="462"/>
      <c r="B209" s="254"/>
      <c r="C209" s="254"/>
      <c r="D209" s="904">
        <v>1.05</v>
      </c>
      <c r="E209" s="905"/>
      <c r="F209" s="949">
        <v>0</v>
      </c>
      <c r="G209" s="950"/>
      <c r="H209" s="293"/>
      <c r="I209" s="904">
        <v>0.88</v>
      </c>
      <c r="J209" s="905"/>
      <c r="K209" s="949">
        <v>0</v>
      </c>
      <c r="L209" s="950"/>
      <c r="M209" s="293"/>
      <c r="N209" s="904">
        <v>0.83</v>
      </c>
      <c r="O209" s="905"/>
      <c r="P209" s="949">
        <v>0</v>
      </c>
      <c r="Q209" s="950"/>
      <c r="R209" s="293"/>
      <c r="S209" s="904">
        <v>1.02</v>
      </c>
      <c r="T209" s="905"/>
      <c r="U209" s="949">
        <v>0</v>
      </c>
      <c r="V209" s="950"/>
      <c r="W209" s="293"/>
      <c r="X209" s="904">
        <v>0.9</v>
      </c>
      <c r="Y209" s="905"/>
      <c r="Z209" s="949">
        <v>0</v>
      </c>
      <c r="AA209" s="950"/>
      <c r="AB209" s="254"/>
    </row>
    <row r="210" spans="1:29" s="486" customFormat="1" ht="16.149999999999999" customHeight="1" x14ac:dyDescent="0.2">
      <c r="A210" s="482"/>
      <c r="B210" s="483"/>
      <c r="C210" s="483"/>
      <c r="D210" s="611">
        <f>D209*G210</f>
        <v>257.25</v>
      </c>
      <c r="E210" s="578"/>
      <c r="F210" s="579" t="s">
        <v>291</v>
      </c>
      <c r="G210" s="580">
        <v>245</v>
      </c>
      <c r="H210" s="563"/>
      <c r="I210" s="611">
        <f>I209*L210</f>
        <v>158.4</v>
      </c>
      <c r="J210" s="578"/>
      <c r="K210" s="579" t="s">
        <v>291</v>
      </c>
      <c r="L210" s="580">
        <v>180</v>
      </c>
      <c r="M210" s="563"/>
      <c r="N210" s="611">
        <f>N209*Q210</f>
        <v>186.75</v>
      </c>
      <c r="O210" s="578"/>
      <c r="P210" s="579" t="s">
        <v>291</v>
      </c>
      <c r="Q210" s="580">
        <v>225</v>
      </c>
      <c r="R210" s="563"/>
      <c r="S210" s="611">
        <f>S209*V210</f>
        <v>244.8</v>
      </c>
      <c r="T210" s="578"/>
      <c r="U210" s="579" t="s">
        <v>291</v>
      </c>
      <c r="V210" s="580">
        <v>240</v>
      </c>
      <c r="W210" s="563"/>
      <c r="X210" s="614">
        <f>X209*AA210</f>
        <v>270</v>
      </c>
      <c r="Y210" s="591"/>
      <c r="Z210" s="592" t="s">
        <v>291</v>
      </c>
      <c r="AA210" s="593">
        <v>300</v>
      </c>
      <c r="AB210" s="483"/>
      <c r="AC210" s="485"/>
    </row>
    <row r="211" spans="1:29" ht="10.15" customHeight="1" x14ac:dyDescent="0.2">
      <c r="A211" s="462"/>
      <c r="B211" s="254"/>
      <c r="C211" s="254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254"/>
    </row>
    <row r="212" spans="1:29" ht="13.5" customHeight="1" x14ac:dyDescent="0.2">
      <c r="A212" s="462"/>
      <c r="B212" s="254"/>
      <c r="C212" s="254"/>
      <c r="D212" s="803"/>
      <c r="E212" s="804"/>
      <c r="F212" s="804"/>
      <c r="G212" s="805"/>
      <c r="H212" s="293"/>
      <c r="I212" s="803"/>
      <c r="J212" s="804"/>
      <c r="K212" s="804"/>
      <c r="L212" s="805"/>
      <c r="M212" s="293"/>
      <c r="N212" s="803"/>
      <c r="O212" s="804"/>
      <c r="P212" s="804"/>
      <c r="Q212" s="805"/>
      <c r="R212" s="293"/>
      <c r="S212" s="803"/>
      <c r="T212" s="804"/>
      <c r="U212" s="804"/>
      <c r="V212" s="805"/>
      <c r="W212" s="293"/>
      <c r="X212" s="803"/>
      <c r="Y212" s="804"/>
      <c r="Z212" s="804"/>
      <c r="AA212" s="805"/>
      <c r="AB212" s="254"/>
    </row>
    <row r="213" spans="1:29" ht="13.5" customHeight="1" x14ac:dyDescent="0.2">
      <c r="A213" s="462"/>
      <c r="B213" s="254"/>
      <c r="C213" s="254"/>
      <c r="D213" s="854"/>
      <c r="E213" s="855"/>
      <c r="F213" s="855"/>
      <c r="G213" s="856"/>
      <c r="H213" s="293"/>
      <c r="I213" s="774"/>
      <c r="J213" s="775"/>
      <c r="K213" s="775"/>
      <c r="L213" s="776"/>
      <c r="M213" s="293"/>
      <c r="N213" s="774"/>
      <c r="O213" s="775"/>
      <c r="P213" s="775"/>
      <c r="Q213" s="776"/>
      <c r="R213" s="293"/>
      <c r="S213" s="774"/>
      <c r="T213" s="775"/>
      <c r="U213" s="775"/>
      <c r="V213" s="776"/>
      <c r="W213" s="293"/>
      <c r="X213" s="774"/>
      <c r="Y213" s="775"/>
      <c r="Z213" s="775"/>
      <c r="AA213" s="776"/>
      <c r="AB213" s="254"/>
    </row>
    <row r="214" spans="1:29" ht="13.5" customHeight="1" x14ac:dyDescent="0.2">
      <c r="A214" s="462"/>
      <c r="B214" s="254"/>
      <c r="C214" s="254"/>
      <c r="D214" s="854"/>
      <c r="E214" s="855"/>
      <c r="F214" s="855"/>
      <c r="G214" s="856"/>
      <c r="H214" s="293"/>
      <c r="I214" s="632"/>
      <c r="J214" s="633"/>
      <c r="K214" s="633"/>
      <c r="L214" s="634"/>
      <c r="M214" s="293"/>
      <c r="N214" s="632"/>
      <c r="O214" s="633"/>
      <c r="P214" s="633"/>
      <c r="Q214" s="634"/>
      <c r="R214" s="293"/>
      <c r="S214" s="632"/>
      <c r="T214" s="633"/>
      <c r="U214" s="633"/>
      <c r="V214" s="634"/>
      <c r="W214" s="293"/>
      <c r="X214" s="632"/>
      <c r="Y214" s="633"/>
      <c r="Z214" s="633"/>
      <c r="AA214" s="634"/>
      <c r="AB214" s="254"/>
    </row>
    <row r="215" spans="1:29" ht="13.5" customHeight="1" x14ac:dyDescent="0.2">
      <c r="A215" s="462"/>
      <c r="B215" s="254"/>
      <c r="C215" s="254"/>
      <c r="D215" s="854"/>
      <c r="E215" s="855"/>
      <c r="F215" s="855"/>
      <c r="G215" s="856"/>
      <c r="H215" s="293"/>
      <c r="I215" s="774"/>
      <c r="J215" s="775"/>
      <c r="K215" s="775"/>
      <c r="L215" s="776"/>
      <c r="M215" s="293"/>
      <c r="N215" s="774"/>
      <c r="O215" s="775"/>
      <c r="P215" s="775"/>
      <c r="Q215" s="776"/>
      <c r="R215" s="293"/>
      <c r="S215" s="774"/>
      <c r="T215" s="775"/>
      <c r="U215" s="775"/>
      <c r="V215" s="776"/>
      <c r="W215" s="293"/>
      <c r="X215" s="774"/>
      <c r="Y215" s="775"/>
      <c r="Z215" s="775"/>
      <c r="AA215" s="776"/>
      <c r="AB215" s="254"/>
    </row>
    <row r="216" spans="1:29" ht="13.5" customHeight="1" x14ac:dyDescent="0.2">
      <c r="A216" s="462"/>
      <c r="B216" s="254"/>
      <c r="C216" s="254"/>
      <c r="D216" s="854"/>
      <c r="E216" s="855"/>
      <c r="F216" s="855"/>
      <c r="G216" s="856"/>
      <c r="H216" s="293"/>
      <c r="I216" s="774"/>
      <c r="J216" s="775"/>
      <c r="K216" s="775"/>
      <c r="L216" s="776"/>
      <c r="M216" s="293"/>
      <c r="N216" s="774"/>
      <c r="O216" s="775"/>
      <c r="P216" s="775"/>
      <c r="Q216" s="776"/>
      <c r="R216" s="293"/>
      <c r="S216" s="774"/>
      <c r="T216" s="775"/>
      <c r="U216" s="775"/>
      <c r="V216" s="776"/>
      <c r="W216" s="293"/>
      <c r="X216" s="774"/>
      <c r="Y216" s="775"/>
      <c r="Z216" s="775"/>
      <c r="AA216" s="776"/>
      <c r="AB216" s="254"/>
    </row>
    <row r="217" spans="1:29" ht="13.5" customHeight="1" x14ac:dyDescent="0.2">
      <c r="A217" s="462"/>
      <c r="B217" s="254"/>
      <c r="C217" s="254"/>
      <c r="D217" s="854"/>
      <c r="E217" s="855"/>
      <c r="F217" s="855"/>
      <c r="G217" s="856"/>
      <c r="H217" s="293"/>
      <c r="I217" s="774"/>
      <c r="J217" s="775"/>
      <c r="K217" s="775"/>
      <c r="L217" s="776"/>
      <c r="M217" s="293"/>
      <c r="N217" s="774"/>
      <c r="O217" s="775"/>
      <c r="P217" s="775"/>
      <c r="Q217" s="776"/>
      <c r="R217" s="293"/>
      <c r="S217" s="774"/>
      <c r="T217" s="775"/>
      <c r="U217" s="775"/>
      <c r="V217" s="776"/>
      <c r="W217" s="293"/>
      <c r="X217" s="774"/>
      <c r="Y217" s="775"/>
      <c r="Z217" s="775"/>
      <c r="AA217" s="776"/>
      <c r="AB217" s="254"/>
    </row>
    <row r="218" spans="1:29" ht="13.5" customHeight="1" x14ac:dyDescent="0.25">
      <c r="A218" s="462"/>
      <c r="B218" s="254"/>
      <c r="C218" s="254"/>
      <c r="D218" s="1020" t="s">
        <v>445</v>
      </c>
      <c r="E218" s="1021"/>
      <c r="F218" s="1021"/>
      <c r="G218" s="1022"/>
      <c r="H218" s="293"/>
      <c r="I218" s="1020" t="s">
        <v>446</v>
      </c>
      <c r="J218" s="1021"/>
      <c r="K218" s="1021"/>
      <c r="L218" s="1022"/>
      <c r="M218" s="293"/>
      <c r="N218" s="1020" t="s">
        <v>447</v>
      </c>
      <c r="O218" s="1021"/>
      <c r="P218" s="1021"/>
      <c r="Q218" s="1022"/>
      <c r="R218" s="293"/>
      <c r="S218" s="1020" t="s">
        <v>842</v>
      </c>
      <c r="T218" s="1021"/>
      <c r="U218" s="1021"/>
      <c r="V218" s="1022"/>
      <c r="W218" s="293"/>
      <c r="X218" s="1020" t="s">
        <v>843</v>
      </c>
      <c r="Y218" s="1021"/>
      <c r="Z218" s="1021"/>
      <c r="AA218" s="1022"/>
      <c r="AB218" s="254"/>
    </row>
    <row r="219" spans="1:29" ht="15.95" customHeight="1" x14ac:dyDescent="0.25">
      <c r="A219" s="462"/>
      <c r="B219" s="254"/>
      <c r="C219" s="254"/>
      <c r="D219" s="904">
        <v>0.85</v>
      </c>
      <c r="E219" s="905"/>
      <c r="F219" s="949">
        <v>0</v>
      </c>
      <c r="G219" s="950"/>
      <c r="H219" s="293"/>
      <c r="I219" s="1132">
        <v>0.81</v>
      </c>
      <c r="J219" s="1133"/>
      <c r="K219" s="1134">
        <v>0</v>
      </c>
      <c r="L219" s="1135"/>
      <c r="M219" s="293"/>
      <c r="N219" s="1132">
        <v>0.81</v>
      </c>
      <c r="O219" s="1133"/>
      <c r="P219" s="1134">
        <v>0</v>
      </c>
      <c r="Q219" s="1135"/>
      <c r="R219" s="293"/>
      <c r="S219" s="1132">
        <v>1</v>
      </c>
      <c r="T219" s="1133"/>
      <c r="U219" s="1134">
        <v>0</v>
      </c>
      <c r="V219" s="1135"/>
      <c r="W219" s="293"/>
      <c r="X219" s="1132">
        <v>1.1499999999999999</v>
      </c>
      <c r="Y219" s="1133"/>
      <c r="Z219" s="1134">
        <v>0</v>
      </c>
      <c r="AA219" s="1135"/>
      <c r="AB219" s="254"/>
    </row>
    <row r="220" spans="1:29" s="486" customFormat="1" ht="16.149999999999999" customHeight="1" x14ac:dyDescent="0.2">
      <c r="A220" s="482"/>
      <c r="B220" s="483"/>
      <c r="C220" s="483"/>
      <c r="D220" s="611">
        <f>D219*G220</f>
        <v>255</v>
      </c>
      <c r="E220" s="578"/>
      <c r="F220" s="579" t="s">
        <v>291</v>
      </c>
      <c r="G220" s="580">
        <v>300</v>
      </c>
      <c r="H220" s="563"/>
      <c r="I220" s="611">
        <f>I219*L220</f>
        <v>117.45</v>
      </c>
      <c r="J220" s="578"/>
      <c r="K220" s="579" t="s">
        <v>291</v>
      </c>
      <c r="L220" s="580">
        <v>145</v>
      </c>
      <c r="M220" s="563"/>
      <c r="N220" s="611">
        <f>N219*Q220</f>
        <v>117.45</v>
      </c>
      <c r="O220" s="578"/>
      <c r="P220" s="579" t="s">
        <v>291</v>
      </c>
      <c r="Q220" s="580">
        <v>145</v>
      </c>
      <c r="R220" s="563"/>
      <c r="S220" s="611">
        <f>S219*V220</f>
        <v>120</v>
      </c>
      <c r="T220" s="578"/>
      <c r="U220" s="579" t="s">
        <v>291</v>
      </c>
      <c r="V220" s="580">
        <v>120</v>
      </c>
      <c r="W220" s="563"/>
      <c r="X220" s="611">
        <f>X219*AA220</f>
        <v>172.5</v>
      </c>
      <c r="Y220" s="578"/>
      <c r="Z220" s="579" t="s">
        <v>291</v>
      </c>
      <c r="AA220" s="580">
        <v>150</v>
      </c>
      <c r="AB220" s="483"/>
      <c r="AC220" s="485"/>
    </row>
    <row r="221" spans="1:29" s="486" customFormat="1" ht="16.149999999999999" customHeight="1" x14ac:dyDescent="0.2">
      <c r="A221" s="482"/>
      <c r="B221" s="483"/>
      <c r="C221" s="483"/>
      <c r="D221" s="703"/>
      <c r="E221" s="704"/>
      <c r="F221" s="705"/>
      <c r="G221" s="706"/>
      <c r="H221" s="707"/>
      <c r="I221" s="703"/>
      <c r="J221" s="704"/>
      <c r="K221" s="705"/>
      <c r="L221" s="706"/>
      <c r="M221" s="707"/>
      <c r="N221" s="703"/>
      <c r="O221" s="704"/>
      <c r="P221" s="705"/>
      <c r="Q221" s="706"/>
      <c r="R221" s="707"/>
      <c r="S221" s="703"/>
      <c r="T221" s="704"/>
      <c r="U221" s="705"/>
      <c r="V221" s="706"/>
      <c r="W221" s="707"/>
      <c r="X221" s="703"/>
      <c r="Y221" s="704"/>
      <c r="Z221" s="705"/>
      <c r="AA221" s="706"/>
      <c r="AB221" s="483"/>
      <c r="AC221" s="485"/>
    </row>
    <row r="222" spans="1:29" s="486" customFormat="1" ht="16.149999999999999" customHeight="1" x14ac:dyDescent="0.2">
      <c r="A222" s="482"/>
      <c r="B222" s="483"/>
      <c r="C222" s="483"/>
      <c r="D222" s="803"/>
      <c r="E222" s="804"/>
      <c r="F222" s="804"/>
      <c r="G222" s="805"/>
      <c r="H222" s="563"/>
      <c r="I222" s="703"/>
      <c r="J222" s="704"/>
      <c r="K222" s="705"/>
      <c r="L222" s="706"/>
      <c r="M222" s="707"/>
      <c r="N222" s="703"/>
      <c r="O222" s="704"/>
      <c r="P222" s="705"/>
      <c r="Q222" s="706"/>
      <c r="R222" s="707"/>
      <c r="S222" s="703"/>
      <c r="T222" s="704"/>
      <c r="U222" s="705"/>
      <c r="V222" s="706"/>
      <c r="W222" s="707"/>
      <c r="X222" s="703"/>
      <c r="Y222" s="704"/>
      <c r="Z222" s="705"/>
      <c r="AA222" s="706"/>
      <c r="AB222" s="483"/>
      <c r="AC222" s="485"/>
    </row>
    <row r="223" spans="1:29" s="486" customFormat="1" ht="16.149999999999999" customHeight="1" x14ac:dyDescent="0.2">
      <c r="A223" s="482"/>
      <c r="B223" s="483"/>
      <c r="C223" s="483"/>
      <c r="D223" s="774"/>
      <c r="E223" s="775"/>
      <c r="F223" s="775"/>
      <c r="G223" s="776"/>
      <c r="H223" s="563"/>
      <c r="I223" s="703"/>
      <c r="J223" s="704"/>
      <c r="K223" s="705"/>
      <c r="L223" s="706"/>
      <c r="M223" s="707"/>
      <c r="N223" s="703"/>
      <c r="O223" s="704"/>
      <c r="P223" s="705"/>
      <c r="Q223" s="706"/>
      <c r="R223" s="707"/>
      <c r="S223" s="703"/>
      <c r="T223" s="704"/>
      <c r="U223" s="705"/>
      <c r="V223" s="706"/>
      <c r="W223" s="707"/>
      <c r="X223" s="703"/>
      <c r="Y223" s="704"/>
      <c r="Z223" s="705"/>
      <c r="AA223" s="706"/>
      <c r="AB223" s="483"/>
      <c r="AC223" s="485"/>
    </row>
    <row r="224" spans="1:29" s="486" customFormat="1" ht="16.149999999999999" customHeight="1" x14ac:dyDescent="0.2">
      <c r="A224" s="482"/>
      <c r="B224" s="483"/>
      <c r="C224" s="483"/>
      <c r="D224" s="673"/>
      <c r="E224" s="674"/>
      <c r="F224" s="674"/>
      <c r="G224" s="675"/>
      <c r="H224" s="563"/>
      <c r="I224" s="703"/>
      <c r="J224" s="704"/>
      <c r="K224" s="705"/>
      <c r="L224" s="706"/>
      <c r="M224" s="707"/>
      <c r="N224" s="703"/>
      <c r="O224" s="704"/>
      <c r="P224" s="705"/>
      <c r="Q224" s="706"/>
      <c r="R224" s="707"/>
      <c r="S224" s="703"/>
      <c r="T224" s="704"/>
      <c r="U224" s="705"/>
      <c r="V224" s="706"/>
      <c r="W224" s="707"/>
      <c r="X224" s="703"/>
      <c r="Y224" s="704"/>
      <c r="Z224" s="705"/>
      <c r="AA224" s="706"/>
      <c r="AB224" s="483"/>
      <c r="AC224" s="485"/>
    </row>
    <row r="225" spans="1:29" s="486" customFormat="1" ht="16.149999999999999" customHeight="1" x14ac:dyDescent="0.2">
      <c r="A225" s="482"/>
      <c r="B225" s="483"/>
      <c r="C225" s="483"/>
      <c r="D225" s="774"/>
      <c r="E225" s="775"/>
      <c r="F225" s="775"/>
      <c r="G225" s="776"/>
      <c r="H225" s="563"/>
      <c r="I225" s="703"/>
      <c r="J225" s="704"/>
      <c r="K225" s="705"/>
      <c r="L225" s="706"/>
      <c r="M225" s="707"/>
      <c r="N225" s="703"/>
      <c r="O225" s="704"/>
      <c r="P225" s="705"/>
      <c r="Q225" s="706"/>
      <c r="R225" s="707"/>
      <c r="S225" s="703"/>
      <c r="T225" s="704"/>
      <c r="U225" s="705"/>
      <c r="V225" s="706"/>
      <c r="W225" s="707"/>
      <c r="X225" s="703"/>
      <c r="Y225" s="704"/>
      <c r="Z225" s="705"/>
      <c r="AA225" s="706"/>
      <c r="AB225" s="483"/>
      <c r="AC225" s="485"/>
    </row>
    <row r="226" spans="1:29" s="486" customFormat="1" ht="16.149999999999999" customHeight="1" x14ac:dyDescent="0.2">
      <c r="A226" s="482"/>
      <c r="B226" s="483"/>
      <c r="C226" s="483"/>
      <c r="D226" s="774"/>
      <c r="E226" s="775"/>
      <c r="F226" s="775"/>
      <c r="G226" s="776"/>
      <c r="H226" s="563"/>
      <c r="I226" s="703"/>
      <c r="J226" s="704"/>
      <c r="K226" s="705"/>
      <c r="L226" s="706"/>
      <c r="M226" s="707"/>
      <c r="N226" s="703"/>
      <c r="O226" s="704"/>
      <c r="P226" s="705"/>
      <c r="Q226" s="706"/>
      <c r="R226" s="707"/>
      <c r="S226" s="703"/>
      <c r="T226" s="704"/>
      <c r="U226" s="705"/>
      <c r="V226" s="706"/>
      <c r="W226" s="707"/>
      <c r="X226" s="703"/>
      <c r="Y226" s="704"/>
      <c r="Z226" s="705"/>
      <c r="AA226" s="706"/>
      <c r="AB226" s="483"/>
      <c r="AC226" s="485"/>
    </row>
    <row r="227" spans="1:29" s="486" customFormat="1" ht="16.149999999999999" customHeight="1" x14ac:dyDescent="0.2">
      <c r="A227" s="482"/>
      <c r="B227" s="483"/>
      <c r="C227" s="483"/>
      <c r="D227" s="774"/>
      <c r="E227" s="775"/>
      <c r="F227" s="775"/>
      <c r="G227" s="776"/>
      <c r="H227" s="563"/>
      <c r="I227" s="703"/>
      <c r="J227" s="704"/>
      <c r="K227" s="705"/>
      <c r="L227" s="706"/>
      <c r="M227" s="707"/>
      <c r="N227" s="703"/>
      <c r="O227" s="704"/>
      <c r="P227" s="705"/>
      <c r="Q227" s="706"/>
      <c r="R227" s="707"/>
      <c r="S227" s="703"/>
      <c r="T227" s="704"/>
      <c r="U227" s="705"/>
      <c r="V227" s="706"/>
      <c r="W227" s="707"/>
      <c r="X227" s="703"/>
      <c r="Y227" s="704"/>
      <c r="Z227" s="705"/>
      <c r="AA227" s="706"/>
      <c r="AB227" s="483"/>
      <c r="AC227" s="485"/>
    </row>
    <row r="228" spans="1:29" s="486" customFormat="1" ht="16.149999999999999" customHeight="1" x14ac:dyDescent="0.25">
      <c r="A228" s="482"/>
      <c r="B228" s="483"/>
      <c r="C228" s="483"/>
      <c r="D228" s="1020" t="s">
        <v>302</v>
      </c>
      <c r="E228" s="1021"/>
      <c r="F228" s="1021"/>
      <c r="G228" s="1022"/>
      <c r="H228" s="563"/>
      <c r="I228" s="703"/>
      <c r="J228" s="704"/>
      <c r="K228" s="705"/>
      <c r="L228" s="706"/>
      <c r="M228" s="707"/>
      <c r="N228" s="703"/>
      <c r="O228" s="704"/>
      <c r="P228" s="705"/>
      <c r="Q228" s="706"/>
      <c r="R228" s="707"/>
      <c r="S228" s="703"/>
      <c r="T228" s="704"/>
      <c r="U228" s="705"/>
      <c r="V228" s="706"/>
      <c r="W228" s="707"/>
      <c r="X228" s="703"/>
      <c r="Y228" s="704"/>
      <c r="Z228" s="705"/>
      <c r="AA228" s="706"/>
      <c r="AB228" s="483"/>
      <c r="AC228" s="485"/>
    </row>
    <row r="229" spans="1:29" s="486" customFormat="1" ht="16.149999999999999" customHeight="1" x14ac:dyDescent="0.25">
      <c r="A229" s="482"/>
      <c r="B229" s="483"/>
      <c r="C229" s="483"/>
      <c r="D229" s="1132">
        <v>1.1599999999999999</v>
      </c>
      <c r="E229" s="1133"/>
      <c r="F229" s="1134">
        <v>0</v>
      </c>
      <c r="G229" s="1135"/>
      <c r="H229" s="563"/>
      <c r="I229" s="703"/>
      <c r="J229" s="704"/>
      <c r="K229" s="705"/>
      <c r="L229" s="706"/>
      <c r="M229" s="707"/>
      <c r="N229" s="703"/>
      <c r="O229" s="704"/>
      <c r="P229" s="705"/>
      <c r="Q229" s="706"/>
      <c r="R229" s="707"/>
      <c r="S229" s="703"/>
      <c r="T229" s="704"/>
      <c r="U229" s="705"/>
      <c r="V229" s="706"/>
      <c r="W229" s="707"/>
      <c r="X229" s="703"/>
      <c r="Y229" s="704"/>
      <c r="Z229" s="705"/>
      <c r="AA229" s="706"/>
      <c r="AB229" s="483"/>
      <c r="AC229" s="485"/>
    </row>
    <row r="230" spans="1:29" s="486" customFormat="1" ht="16.149999999999999" customHeight="1" x14ac:dyDescent="0.2">
      <c r="A230" s="482"/>
      <c r="B230" s="483"/>
      <c r="C230" s="483"/>
      <c r="D230" s="611">
        <f>D229*G230</f>
        <v>115.99999999999999</v>
      </c>
      <c r="E230" s="578"/>
      <c r="F230" s="579" t="s">
        <v>291</v>
      </c>
      <c r="G230" s="580">
        <v>100</v>
      </c>
      <c r="H230" s="563"/>
      <c r="I230" s="703"/>
      <c r="J230" s="704"/>
      <c r="K230" s="705"/>
      <c r="L230" s="706"/>
      <c r="M230" s="707"/>
      <c r="N230" s="703"/>
      <c r="O230" s="704"/>
      <c r="P230" s="705"/>
      <c r="Q230" s="706"/>
      <c r="R230" s="707"/>
      <c r="S230" s="703"/>
      <c r="T230" s="704"/>
      <c r="U230" s="705"/>
      <c r="V230" s="706"/>
      <c r="W230" s="707"/>
      <c r="X230" s="703"/>
      <c r="Y230" s="704"/>
      <c r="Z230" s="705"/>
      <c r="AA230" s="706"/>
      <c r="AB230" s="483"/>
      <c r="AC230" s="485"/>
    </row>
    <row r="231" spans="1:29" ht="27" customHeight="1" thickBot="1" x14ac:dyDescent="0.25">
      <c r="A231" s="462"/>
      <c r="B231" s="254"/>
      <c r="C231" s="254"/>
      <c r="D231" s="290"/>
      <c r="E231" s="290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54"/>
    </row>
    <row r="232" spans="1:29" s="198" customFormat="1" ht="27" customHeight="1" thickTop="1" x14ac:dyDescent="0.3">
      <c r="A232" s="468"/>
      <c r="B232" s="400"/>
      <c r="C232" s="268"/>
      <c r="D232" s="850" t="s">
        <v>556</v>
      </c>
      <c r="E232" s="850"/>
      <c r="F232" s="850"/>
      <c r="G232" s="850"/>
      <c r="H232" s="850"/>
      <c r="I232" s="850"/>
      <c r="J232" s="850"/>
      <c r="K232" s="850"/>
      <c r="L232" s="850"/>
      <c r="M232" s="850"/>
      <c r="N232" s="850"/>
      <c r="O232" s="850"/>
      <c r="P232" s="850"/>
      <c r="Q232" s="850"/>
      <c r="R232" s="850"/>
      <c r="S232" s="850"/>
      <c r="T232" s="850"/>
      <c r="U232" s="850"/>
      <c r="V232" s="850"/>
      <c r="W232" s="850"/>
      <c r="X232" s="850"/>
      <c r="Y232" s="850"/>
      <c r="Z232" s="850"/>
      <c r="AA232" s="850"/>
      <c r="AB232" s="400"/>
      <c r="AC232" s="417"/>
    </row>
    <row r="233" spans="1:29" ht="27" customHeight="1" x14ac:dyDescent="0.3">
      <c r="A233" s="462"/>
      <c r="B233" s="254"/>
      <c r="C233" s="254"/>
      <c r="D233" s="1109" t="s">
        <v>277</v>
      </c>
      <c r="E233" s="1109"/>
      <c r="F233" s="1109"/>
      <c r="G233" s="1109"/>
      <c r="H233" s="1109"/>
      <c r="I233" s="1109"/>
      <c r="J233" s="1109"/>
      <c r="K233" s="1109"/>
      <c r="L233" s="1109"/>
      <c r="M233" s="1109"/>
      <c r="N233" s="1109"/>
      <c r="O233" s="1109"/>
      <c r="P233" s="1109"/>
      <c r="Q233" s="1109"/>
      <c r="R233" s="1109"/>
      <c r="S233" s="1109"/>
      <c r="T233" s="1109"/>
      <c r="U233" s="1109"/>
      <c r="V233" s="1109"/>
      <c r="W233" s="1109"/>
      <c r="X233" s="1109"/>
      <c r="Y233" s="1109"/>
      <c r="Z233" s="1109"/>
      <c r="AA233" s="1109"/>
      <c r="AB233" s="410"/>
    </row>
    <row r="234" spans="1:29" s="190" customFormat="1" ht="18.75" x14ac:dyDescent="0.3">
      <c r="A234" s="463"/>
      <c r="B234" s="254"/>
      <c r="C234" s="254"/>
      <c r="D234" s="803"/>
      <c r="E234" s="804"/>
      <c r="F234" s="804"/>
      <c r="G234" s="805"/>
      <c r="H234" s="293"/>
      <c r="I234" s="803"/>
      <c r="J234" s="804"/>
      <c r="K234" s="804"/>
      <c r="L234" s="805"/>
      <c r="M234" s="293"/>
      <c r="N234" s="803"/>
      <c r="O234" s="804"/>
      <c r="P234" s="804"/>
      <c r="Q234" s="805"/>
      <c r="R234" s="293"/>
      <c r="S234" s="803"/>
      <c r="T234" s="804"/>
      <c r="U234" s="804"/>
      <c r="V234" s="805"/>
      <c r="W234" s="293"/>
      <c r="X234" s="803"/>
      <c r="Y234" s="804"/>
      <c r="Z234" s="804"/>
      <c r="AA234" s="805"/>
      <c r="AB234" s="254"/>
      <c r="AC234" s="414"/>
    </row>
    <row r="235" spans="1:29" s="188" customFormat="1" ht="13.5" customHeight="1" x14ac:dyDescent="0.2">
      <c r="A235" s="254"/>
      <c r="B235" s="254"/>
      <c r="C235" s="254"/>
      <c r="D235" s="791"/>
      <c r="E235" s="792"/>
      <c r="F235" s="792"/>
      <c r="G235" s="793"/>
      <c r="H235" s="293"/>
      <c r="I235" s="791"/>
      <c r="J235" s="792"/>
      <c r="K235" s="792"/>
      <c r="L235" s="793"/>
      <c r="M235" s="293"/>
      <c r="N235" s="791"/>
      <c r="O235" s="792"/>
      <c r="P235" s="792"/>
      <c r="Q235" s="793"/>
      <c r="R235" s="293"/>
      <c r="S235" s="791"/>
      <c r="T235" s="792"/>
      <c r="U235" s="792"/>
      <c r="V235" s="793"/>
      <c r="W235" s="293"/>
      <c r="X235" s="791"/>
      <c r="Y235" s="792"/>
      <c r="Z235" s="792"/>
      <c r="AA235" s="793"/>
      <c r="AB235" s="254"/>
      <c r="AC235" s="206"/>
    </row>
    <row r="236" spans="1:29" ht="14.25" x14ac:dyDescent="0.2">
      <c r="A236" s="462"/>
      <c r="B236" s="254"/>
      <c r="C236" s="254"/>
      <c r="D236" s="316"/>
      <c r="E236" s="317"/>
      <c r="F236" s="317"/>
      <c r="G236" s="318"/>
      <c r="H236" s="293"/>
      <c r="I236" s="316"/>
      <c r="J236" s="317"/>
      <c r="K236" s="317"/>
      <c r="L236" s="318"/>
      <c r="M236" s="293"/>
      <c r="N236" s="316"/>
      <c r="O236" s="317"/>
      <c r="P236" s="317"/>
      <c r="Q236" s="318"/>
      <c r="R236" s="293"/>
      <c r="S236" s="316"/>
      <c r="T236" s="317"/>
      <c r="U236" s="317"/>
      <c r="V236" s="318"/>
      <c r="W236" s="293"/>
      <c r="X236" s="316"/>
      <c r="Y236" s="317"/>
      <c r="Z236" s="317"/>
      <c r="AA236" s="318"/>
      <c r="AB236" s="254"/>
    </row>
    <row r="237" spans="1:29" ht="14.25" x14ac:dyDescent="0.2">
      <c r="A237" s="462"/>
      <c r="B237" s="254"/>
      <c r="C237" s="254"/>
      <c r="D237" s="791"/>
      <c r="E237" s="792"/>
      <c r="F237" s="792"/>
      <c r="G237" s="793"/>
      <c r="H237" s="293"/>
      <c r="I237" s="791"/>
      <c r="J237" s="792"/>
      <c r="K237" s="792"/>
      <c r="L237" s="793"/>
      <c r="M237" s="293"/>
      <c r="N237" s="791"/>
      <c r="O237" s="792"/>
      <c r="P237" s="792"/>
      <c r="Q237" s="793"/>
      <c r="R237" s="293"/>
      <c r="S237" s="791"/>
      <c r="T237" s="792"/>
      <c r="U237" s="792"/>
      <c r="V237" s="793"/>
      <c r="W237" s="293"/>
      <c r="X237" s="791"/>
      <c r="Y237" s="792"/>
      <c r="Z237" s="792"/>
      <c r="AA237" s="793"/>
      <c r="AB237" s="254"/>
    </row>
    <row r="238" spans="1:29" ht="14.25" x14ac:dyDescent="0.2">
      <c r="A238" s="462"/>
      <c r="B238" s="254"/>
      <c r="C238" s="254"/>
      <c r="D238" s="791"/>
      <c r="E238" s="792"/>
      <c r="F238" s="792"/>
      <c r="G238" s="793"/>
      <c r="H238" s="293"/>
      <c r="I238" s="791"/>
      <c r="J238" s="792"/>
      <c r="K238" s="792"/>
      <c r="L238" s="793"/>
      <c r="M238" s="293"/>
      <c r="N238" s="791"/>
      <c r="O238" s="792"/>
      <c r="P238" s="792"/>
      <c r="Q238" s="793"/>
      <c r="R238" s="293"/>
      <c r="S238" s="791"/>
      <c r="T238" s="792"/>
      <c r="U238" s="792"/>
      <c r="V238" s="793"/>
      <c r="W238" s="293"/>
      <c r="X238" s="791"/>
      <c r="Y238" s="792"/>
      <c r="Z238" s="792"/>
      <c r="AA238" s="793"/>
      <c r="AB238" s="254"/>
    </row>
    <row r="239" spans="1:29" ht="14.25" x14ac:dyDescent="0.2">
      <c r="A239" s="462"/>
      <c r="B239" s="254"/>
      <c r="C239" s="254"/>
      <c r="D239" s="794"/>
      <c r="E239" s="795"/>
      <c r="F239" s="795"/>
      <c r="G239" s="796"/>
      <c r="H239" s="293"/>
      <c r="I239" s="794"/>
      <c r="J239" s="795"/>
      <c r="K239" s="795"/>
      <c r="L239" s="796"/>
      <c r="M239" s="293"/>
      <c r="N239" s="794"/>
      <c r="O239" s="795"/>
      <c r="P239" s="795"/>
      <c r="Q239" s="796"/>
      <c r="R239" s="293"/>
      <c r="S239" s="794"/>
      <c r="T239" s="795"/>
      <c r="U239" s="795"/>
      <c r="V239" s="796"/>
      <c r="W239" s="293"/>
      <c r="X239" s="794"/>
      <c r="Y239" s="795"/>
      <c r="Z239" s="795"/>
      <c r="AA239" s="796"/>
      <c r="AB239" s="254"/>
    </row>
    <row r="240" spans="1:29" ht="15" x14ac:dyDescent="0.25">
      <c r="A240" s="462"/>
      <c r="B240" s="254"/>
      <c r="C240" s="254"/>
      <c r="D240" s="867" t="s">
        <v>303</v>
      </c>
      <c r="E240" s="868"/>
      <c r="F240" s="868"/>
      <c r="G240" s="869"/>
      <c r="H240" s="293"/>
      <c r="I240" s="867" t="s">
        <v>304</v>
      </c>
      <c r="J240" s="868"/>
      <c r="K240" s="868"/>
      <c r="L240" s="869"/>
      <c r="M240" s="293"/>
      <c r="N240" s="867" t="s">
        <v>305</v>
      </c>
      <c r="O240" s="868"/>
      <c r="P240" s="868"/>
      <c r="Q240" s="869"/>
      <c r="R240" s="293"/>
      <c r="S240" s="867" t="s">
        <v>307</v>
      </c>
      <c r="T240" s="868"/>
      <c r="U240" s="868"/>
      <c r="V240" s="869"/>
      <c r="W240" s="293"/>
      <c r="X240" s="867" t="s">
        <v>308</v>
      </c>
      <c r="Y240" s="868"/>
      <c r="Z240" s="868"/>
      <c r="AA240" s="869"/>
      <c r="AB240" s="254"/>
    </row>
    <row r="241" spans="1:29" s="284" customFormat="1" ht="13.5" customHeight="1" x14ac:dyDescent="0.2">
      <c r="A241" s="470"/>
      <c r="B241" s="286"/>
      <c r="C241" s="286"/>
      <c r="D241" s="1042" t="s">
        <v>552</v>
      </c>
      <c r="E241" s="1042"/>
      <c r="F241" s="1042"/>
      <c r="G241" s="1042"/>
      <c r="H241" s="347"/>
      <c r="I241" s="1049" t="s">
        <v>551</v>
      </c>
      <c r="J241" s="1010"/>
      <c r="K241" s="1010"/>
      <c r="L241" s="1011"/>
      <c r="M241" s="347"/>
      <c r="N241" s="1136" t="s">
        <v>550</v>
      </c>
      <c r="O241" s="1137"/>
      <c r="P241" s="1137"/>
      <c r="Q241" s="1138"/>
      <c r="R241" s="347"/>
      <c r="S241" s="1049" t="s">
        <v>549</v>
      </c>
      <c r="T241" s="1010"/>
      <c r="U241" s="1010"/>
      <c r="V241" s="1011"/>
      <c r="W241" s="347"/>
      <c r="X241" s="1049" t="s">
        <v>548</v>
      </c>
      <c r="Y241" s="1010"/>
      <c r="Z241" s="1010"/>
      <c r="AA241" s="1011"/>
      <c r="AB241" s="286"/>
      <c r="AC241" s="419"/>
    </row>
    <row r="242" spans="1:29" s="284" customFormat="1" ht="13.5" customHeight="1" x14ac:dyDescent="0.25">
      <c r="A242" s="470"/>
      <c r="B242" s="285"/>
      <c r="C242" s="285"/>
      <c r="D242" s="860" t="s">
        <v>572</v>
      </c>
      <c r="E242" s="861"/>
      <c r="F242" s="861"/>
      <c r="G242" s="862"/>
      <c r="H242" s="301"/>
      <c r="I242" s="860" t="s">
        <v>574</v>
      </c>
      <c r="J242" s="861"/>
      <c r="K242" s="861"/>
      <c r="L242" s="862"/>
      <c r="M242" s="301"/>
      <c r="N242" s="860" t="s">
        <v>575</v>
      </c>
      <c r="O242" s="861"/>
      <c r="P242" s="861"/>
      <c r="Q242" s="862"/>
      <c r="R242" s="301"/>
      <c r="S242" s="860" t="s">
        <v>576</v>
      </c>
      <c r="T242" s="861"/>
      <c r="U242" s="861"/>
      <c r="V242" s="862"/>
      <c r="W242" s="301"/>
      <c r="X242" s="860" t="s">
        <v>589</v>
      </c>
      <c r="Y242" s="861"/>
      <c r="Z242" s="861"/>
      <c r="AA242" s="862"/>
      <c r="AB242" s="285"/>
      <c r="AC242" s="419"/>
    </row>
    <row r="243" spans="1:29" s="200" customFormat="1" ht="16.149999999999999" customHeight="1" thickBot="1" x14ac:dyDescent="0.3">
      <c r="A243" s="471"/>
      <c r="B243" s="254"/>
      <c r="C243" s="254"/>
      <c r="D243" s="815">
        <v>1.45</v>
      </c>
      <c r="E243" s="816"/>
      <c r="F243" s="906">
        <v>0</v>
      </c>
      <c r="G243" s="907"/>
      <c r="H243" s="293"/>
      <c r="I243" s="815">
        <v>2.48</v>
      </c>
      <c r="J243" s="816"/>
      <c r="K243" s="906">
        <v>0</v>
      </c>
      <c r="L243" s="907"/>
      <c r="M243" s="293"/>
      <c r="N243" s="815">
        <v>3.57</v>
      </c>
      <c r="O243" s="816"/>
      <c r="P243" s="906">
        <v>0</v>
      </c>
      <c r="Q243" s="907"/>
      <c r="R243" s="293"/>
      <c r="S243" s="815">
        <v>2.2999999999999998</v>
      </c>
      <c r="T243" s="816"/>
      <c r="U243" s="906">
        <v>0</v>
      </c>
      <c r="V243" s="907"/>
      <c r="W243" s="293"/>
      <c r="X243" s="815">
        <v>4.84</v>
      </c>
      <c r="Y243" s="816"/>
      <c r="Z243" s="906">
        <v>0</v>
      </c>
      <c r="AA243" s="907"/>
      <c r="AB243" s="254"/>
      <c r="AC243" s="420"/>
    </row>
    <row r="244" spans="1:29" s="199" customFormat="1" ht="10.15" customHeight="1" x14ac:dyDescent="0.2">
      <c r="A244" s="469"/>
      <c r="B244" s="254"/>
      <c r="C244" s="254"/>
      <c r="D244" s="348"/>
      <c r="E244" s="348"/>
      <c r="F244" s="349"/>
      <c r="G244" s="349"/>
      <c r="H244" s="350"/>
      <c r="I244" s="348"/>
      <c r="J244" s="348"/>
      <c r="K244" s="349"/>
      <c r="L244" s="349"/>
      <c r="M244" s="350"/>
      <c r="N244" s="348"/>
      <c r="O244" s="348"/>
      <c r="P244" s="349"/>
      <c r="Q244" s="349"/>
      <c r="R244" s="350"/>
      <c r="S244" s="348"/>
      <c r="T244" s="348"/>
      <c r="U244" s="349"/>
      <c r="V244" s="349"/>
      <c r="W244" s="350"/>
      <c r="X244" s="348"/>
      <c r="Y244" s="348"/>
      <c r="Z244" s="349"/>
      <c r="AA244" s="349"/>
      <c r="AB244" s="254"/>
      <c r="AC244" s="418"/>
    </row>
    <row r="245" spans="1:29" s="199" customFormat="1" ht="13.5" customHeight="1" x14ac:dyDescent="0.2">
      <c r="A245" s="469"/>
      <c r="B245" s="254"/>
      <c r="C245" s="254"/>
      <c r="D245" s="788"/>
      <c r="E245" s="789"/>
      <c r="F245" s="789"/>
      <c r="G245" s="790"/>
      <c r="H245" s="293"/>
      <c r="I245" s="788"/>
      <c r="J245" s="789"/>
      <c r="K245" s="789"/>
      <c r="L245" s="790"/>
      <c r="M245" s="293"/>
      <c r="N245" s="788"/>
      <c r="O245" s="789"/>
      <c r="P245" s="789"/>
      <c r="Q245" s="790"/>
      <c r="R245" s="293"/>
      <c r="S245" s="788"/>
      <c r="T245" s="789"/>
      <c r="U245" s="789"/>
      <c r="V245" s="790"/>
      <c r="W245" s="293"/>
      <c r="X245" s="803"/>
      <c r="Y245" s="804"/>
      <c r="Z245" s="804"/>
      <c r="AA245" s="805"/>
      <c r="AB245" s="254"/>
      <c r="AC245" s="418"/>
    </row>
    <row r="246" spans="1:29" ht="14.25" x14ac:dyDescent="0.2">
      <c r="A246" s="462"/>
      <c r="B246" s="254"/>
      <c r="C246" s="254"/>
      <c r="D246" s="791"/>
      <c r="E246" s="792"/>
      <c r="F246" s="792"/>
      <c r="G246" s="793"/>
      <c r="H246" s="293"/>
      <c r="I246" s="791"/>
      <c r="J246" s="792"/>
      <c r="K246" s="792"/>
      <c r="L246" s="793"/>
      <c r="M246" s="293"/>
      <c r="N246" s="791"/>
      <c r="O246" s="792"/>
      <c r="P246" s="792"/>
      <c r="Q246" s="793"/>
      <c r="R246" s="293"/>
      <c r="S246" s="791"/>
      <c r="T246" s="792"/>
      <c r="U246" s="792"/>
      <c r="V246" s="793"/>
      <c r="W246" s="293"/>
      <c r="X246" s="854"/>
      <c r="Y246" s="855"/>
      <c r="Z246" s="855"/>
      <c r="AA246" s="856"/>
      <c r="AB246" s="254"/>
    </row>
    <row r="247" spans="1:29" ht="14.25" x14ac:dyDescent="0.2">
      <c r="A247" s="462"/>
      <c r="B247" s="254"/>
      <c r="C247" s="254"/>
      <c r="D247" s="791"/>
      <c r="E247" s="792"/>
      <c r="F247" s="792"/>
      <c r="G247" s="793"/>
      <c r="H247" s="293"/>
      <c r="I247" s="791"/>
      <c r="J247" s="792"/>
      <c r="K247" s="792"/>
      <c r="L247" s="793"/>
      <c r="M247" s="293"/>
      <c r="N247" s="791"/>
      <c r="O247" s="792"/>
      <c r="P247" s="792"/>
      <c r="Q247" s="793"/>
      <c r="R247" s="293"/>
      <c r="S247" s="791"/>
      <c r="T247" s="792"/>
      <c r="U247" s="792"/>
      <c r="V247" s="793"/>
      <c r="W247" s="293"/>
      <c r="X247" s="854"/>
      <c r="Y247" s="855"/>
      <c r="Z247" s="855"/>
      <c r="AA247" s="856"/>
      <c r="AB247" s="254"/>
    </row>
    <row r="248" spans="1:29" ht="14.25" x14ac:dyDescent="0.2">
      <c r="A248" s="462"/>
      <c r="B248" s="254"/>
      <c r="C248" s="254"/>
      <c r="D248" s="316"/>
      <c r="E248" s="317"/>
      <c r="F248" s="317"/>
      <c r="G248" s="318"/>
      <c r="H248" s="293"/>
      <c r="I248" s="316"/>
      <c r="J248" s="317"/>
      <c r="K248" s="317"/>
      <c r="L248" s="318"/>
      <c r="M248" s="293"/>
      <c r="N248" s="628"/>
      <c r="O248" s="629"/>
      <c r="P248" s="629"/>
      <c r="Q248" s="630"/>
      <c r="R248" s="293"/>
      <c r="S248" s="316"/>
      <c r="T248" s="317"/>
      <c r="U248" s="317"/>
      <c r="V248" s="318"/>
      <c r="W248" s="293"/>
      <c r="X248" s="854"/>
      <c r="Y248" s="855"/>
      <c r="Z248" s="855"/>
      <c r="AA248" s="856"/>
      <c r="AB248" s="254"/>
    </row>
    <row r="249" spans="1:29" ht="14.25" x14ac:dyDescent="0.2">
      <c r="A249" s="462"/>
      <c r="B249" s="254"/>
      <c r="C249" s="254"/>
      <c r="D249" s="791"/>
      <c r="E249" s="792"/>
      <c r="F249" s="792"/>
      <c r="G249" s="793"/>
      <c r="H249" s="293"/>
      <c r="I249" s="791"/>
      <c r="J249" s="792"/>
      <c r="K249" s="792"/>
      <c r="L249" s="793"/>
      <c r="M249" s="293"/>
      <c r="N249" s="791"/>
      <c r="O249" s="792"/>
      <c r="P249" s="792"/>
      <c r="Q249" s="793"/>
      <c r="R249" s="293"/>
      <c r="S249" s="791"/>
      <c r="T249" s="792"/>
      <c r="U249" s="792"/>
      <c r="V249" s="793"/>
      <c r="W249" s="293"/>
      <c r="X249" s="854"/>
      <c r="Y249" s="855"/>
      <c r="Z249" s="855"/>
      <c r="AA249" s="856"/>
      <c r="AB249" s="254"/>
    </row>
    <row r="250" spans="1:29" ht="13.5" customHeight="1" x14ac:dyDescent="0.2">
      <c r="A250" s="462"/>
      <c r="B250" s="254"/>
      <c r="C250" s="254"/>
      <c r="D250" s="794"/>
      <c r="E250" s="795"/>
      <c r="F250" s="795"/>
      <c r="G250" s="796"/>
      <c r="H250" s="293"/>
      <c r="I250" s="794"/>
      <c r="J250" s="795"/>
      <c r="K250" s="795"/>
      <c r="L250" s="796"/>
      <c r="M250" s="293"/>
      <c r="N250" s="794"/>
      <c r="O250" s="795"/>
      <c r="P250" s="795"/>
      <c r="Q250" s="796"/>
      <c r="R250" s="293"/>
      <c r="S250" s="794"/>
      <c r="T250" s="795"/>
      <c r="U250" s="795"/>
      <c r="V250" s="796"/>
      <c r="W250" s="293"/>
      <c r="X250" s="972"/>
      <c r="Y250" s="973"/>
      <c r="Z250" s="973"/>
      <c r="AA250" s="974"/>
      <c r="AB250" s="254"/>
    </row>
    <row r="251" spans="1:29" ht="15" x14ac:dyDescent="0.25">
      <c r="A251" s="462"/>
      <c r="B251" s="254"/>
      <c r="C251" s="254"/>
      <c r="D251" s="867" t="s">
        <v>312</v>
      </c>
      <c r="E251" s="868"/>
      <c r="F251" s="868"/>
      <c r="G251" s="869"/>
      <c r="H251" s="293"/>
      <c r="I251" s="857" t="s">
        <v>545</v>
      </c>
      <c r="J251" s="858"/>
      <c r="K251" s="858"/>
      <c r="L251" s="859"/>
      <c r="M251" s="293"/>
      <c r="N251" s="867" t="s">
        <v>311</v>
      </c>
      <c r="O251" s="868"/>
      <c r="P251" s="868"/>
      <c r="Q251" s="869"/>
      <c r="R251" s="293"/>
      <c r="S251" s="857" t="s">
        <v>543</v>
      </c>
      <c r="T251" s="858"/>
      <c r="U251" s="858"/>
      <c r="V251" s="859"/>
      <c r="W251" s="293"/>
      <c r="X251" s="867" t="s">
        <v>535</v>
      </c>
      <c r="Y251" s="868"/>
      <c r="Z251" s="868"/>
      <c r="AA251" s="869"/>
      <c r="AB251" s="254"/>
    </row>
    <row r="252" spans="1:29" s="284" customFormat="1" ht="13.5" customHeight="1" x14ac:dyDescent="0.2">
      <c r="A252" s="470"/>
      <c r="B252" s="283"/>
      <c r="C252" s="283"/>
      <c r="D252" s="1152" t="s">
        <v>547</v>
      </c>
      <c r="E252" s="1153"/>
      <c r="F252" s="1153"/>
      <c r="G252" s="1154"/>
      <c r="H252" s="347"/>
      <c r="I252" s="1152" t="s">
        <v>546</v>
      </c>
      <c r="J252" s="1153"/>
      <c r="K252" s="1153"/>
      <c r="L252" s="1154"/>
      <c r="M252" s="347"/>
      <c r="N252" s="1049" t="s">
        <v>287</v>
      </c>
      <c r="O252" s="1010"/>
      <c r="P252" s="1010"/>
      <c r="Q252" s="1011"/>
      <c r="R252" s="347"/>
      <c r="S252" s="1049" t="s">
        <v>544</v>
      </c>
      <c r="T252" s="1010"/>
      <c r="U252" s="1010"/>
      <c r="V252" s="1011"/>
      <c r="W252" s="347"/>
      <c r="X252" s="1125" t="s">
        <v>536</v>
      </c>
      <c r="Y252" s="1126"/>
      <c r="Z252" s="1126"/>
      <c r="AA252" s="1127"/>
      <c r="AB252" s="283"/>
      <c r="AC252" s="419"/>
    </row>
    <row r="253" spans="1:29" s="284" customFormat="1" ht="13.5" customHeight="1" x14ac:dyDescent="0.25">
      <c r="A253" s="470"/>
      <c r="B253" s="285"/>
      <c r="C253" s="285"/>
      <c r="D253" s="860" t="s">
        <v>583</v>
      </c>
      <c r="E253" s="861"/>
      <c r="F253" s="861"/>
      <c r="G253" s="862"/>
      <c r="H253" s="301"/>
      <c r="I253" s="860" t="s">
        <v>584</v>
      </c>
      <c r="J253" s="861"/>
      <c r="K253" s="1010"/>
      <c r="L253" s="1011"/>
      <c r="M253" s="301"/>
      <c r="N253" s="860" t="s">
        <v>577</v>
      </c>
      <c r="O253" s="861"/>
      <c r="P253" s="861"/>
      <c r="Q253" s="862"/>
      <c r="R253" s="301"/>
      <c r="S253" s="860" t="s">
        <v>578</v>
      </c>
      <c r="T253" s="861"/>
      <c r="U253" s="861"/>
      <c r="V253" s="862"/>
      <c r="W253" s="301"/>
      <c r="X253" s="860" t="s">
        <v>579</v>
      </c>
      <c r="Y253" s="861"/>
      <c r="Z253" s="1010"/>
      <c r="AA253" s="1011"/>
      <c r="AB253" s="285"/>
      <c r="AC253" s="419"/>
    </row>
    <row r="254" spans="1:29" s="199" customFormat="1" ht="16.149999999999999" customHeight="1" thickBot="1" x14ac:dyDescent="0.3">
      <c r="A254" s="469"/>
      <c r="B254" s="254"/>
      <c r="C254" s="254"/>
      <c r="D254" s="815">
        <v>2.74</v>
      </c>
      <c r="E254" s="816"/>
      <c r="F254" s="906">
        <v>0</v>
      </c>
      <c r="G254" s="907"/>
      <c r="H254" s="293"/>
      <c r="I254" s="815">
        <v>3.23</v>
      </c>
      <c r="J254" s="816"/>
      <c r="K254" s="906">
        <v>0</v>
      </c>
      <c r="L254" s="907"/>
      <c r="M254" s="293"/>
      <c r="N254" s="815">
        <v>1.45</v>
      </c>
      <c r="O254" s="816"/>
      <c r="P254" s="906">
        <v>0</v>
      </c>
      <c r="Q254" s="907"/>
      <c r="R254" s="293"/>
      <c r="S254" s="807">
        <v>1.93</v>
      </c>
      <c r="T254" s="1155"/>
      <c r="U254" s="1000">
        <v>0</v>
      </c>
      <c r="V254" s="1001"/>
      <c r="W254" s="293"/>
      <c r="X254" s="870">
        <v>2.23</v>
      </c>
      <c r="Y254" s="871"/>
      <c r="Z254" s="906">
        <v>0</v>
      </c>
      <c r="AA254" s="907"/>
      <c r="AB254" s="254"/>
      <c r="AC254" s="418"/>
    </row>
    <row r="255" spans="1:29" s="199" customFormat="1" ht="10.15" customHeight="1" x14ac:dyDescent="0.2">
      <c r="A255" s="469"/>
      <c r="B255" s="254"/>
      <c r="C255" s="254"/>
      <c r="D255" s="351"/>
      <c r="E255" s="351"/>
      <c r="F255" s="352"/>
      <c r="G255" s="352"/>
      <c r="H255" s="293"/>
      <c r="I255" s="351"/>
      <c r="J255" s="351"/>
      <c r="K255" s="352"/>
      <c r="L255" s="352"/>
      <c r="M255" s="293"/>
      <c r="N255" s="635"/>
      <c r="O255" s="635"/>
      <c r="P255" s="631"/>
      <c r="Q255" s="631"/>
      <c r="R255" s="293"/>
      <c r="S255" s="351"/>
      <c r="T255" s="351"/>
      <c r="U255" s="352"/>
      <c r="V255" s="352"/>
      <c r="W255" s="293"/>
      <c r="X255" s="331"/>
      <c r="Y255" s="331"/>
      <c r="Z255" s="352"/>
      <c r="AA255" s="352"/>
      <c r="AB255" s="254"/>
      <c r="AC255" s="418"/>
    </row>
    <row r="256" spans="1:29" s="199" customFormat="1" ht="13.5" customHeight="1" x14ac:dyDescent="0.2">
      <c r="A256" s="469"/>
      <c r="B256" s="254"/>
      <c r="C256" s="254"/>
      <c r="D256" s="788"/>
      <c r="E256" s="789"/>
      <c r="F256" s="789"/>
      <c r="G256" s="790"/>
      <c r="H256" s="293"/>
      <c r="I256" s="788"/>
      <c r="J256" s="789"/>
      <c r="K256" s="789"/>
      <c r="L256" s="790"/>
      <c r="M256" s="293"/>
      <c r="N256" s="788"/>
      <c r="O256" s="789"/>
      <c r="P256" s="789"/>
      <c r="Q256" s="790"/>
      <c r="R256" s="293"/>
      <c r="S256" s="788"/>
      <c r="T256" s="789"/>
      <c r="U256" s="789"/>
      <c r="V256" s="790"/>
      <c r="W256" s="293"/>
      <c r="X256" s="803"/>
      <c r="Y256" s="804"/>
      <c r="Z256" s="804"/>
      <c r="AA256" s="805"/>
      <c r="AB256" s="254"/>
      <c r="AC256" s="418"/>
    </row>
    <row r="257" spans="1:29" s="199" customFormat="1" ht="13.5" customHeight="1" x14ac:dyDescent="0.2">
      <c r="A257" s="469"/>
      <c r="B257" s="254"/>
      <c r="C257" s="254"/>
      <c r="D257" s="791"/>
      <c r="E257" s="792"/>
      <c r="F257" s="792"/>
      <c r="G257" s="793"/>
      <c r="H257" s="293"/>
      <c r="I257" s="791"/>
      <c r="J257" s="792"/>
      <c r="K257" s="792"/>
      <c r="L257" s="793"/>
      <c r="M257" s="293"/>
      <c r="N257" s="791"/>
      <c r="O257" s="792"/>
      <c r="P257" s="792"/>
      <c r="Q257" s="793"/>
      <c r="R257" s="293"/>
      <c r="S257" s="791"/>
      <c r="T257" s="792"/>
      <c r="U257" s="792"/>
      <c r="V257" s="793"/>
      <c r="W257" s="293"/>
      <c r="X257" s="774"/>
      <c r="Y257" s="775"/>
      <c r="Z257" s="775"/>
      <c r="AA257" s="776"/>
      <c r="AB257" s="254"/>
      <c r="AC257" s="418"/>
    </row>
    <row r="258" spans="1:29" s="199" customFormat="1" ht="13.5" customHeight="1" x14ac:dyDescent="0.2">
      <c r="A258" s="469"/>
      <c r="B258" s="254"/>
      <c r="C258" s="254"/>
      <c r="D258" s="791"/>
      <c r="E258" s="792"/>
      <c r="F258" s="792"/>
      <c r="G258" s="793"/>
      <c r="H258" s="293"/>
      <c r="I258" s="791"/>
      <c r="J258" s="792"/>
      <c r="K258" s="792"/>
      <c r="L258" s="793"/>
      <c r="M258" s="293"/>
      <c r="N258" s="791"/>
      <c r="O258" s="792"/>
      <c r="P258" s="792"/>
      <c r="Q258" s="793"/>
      <c r="R258" s="293"/>
      <c r="S258" s="791"/>
      <c r="T258" s="792"/>
      <c r="U258" s="792"/>
      <c r="V258" s="793"/>
      <c r="W258" s="293"/>
      <c r="X258" s="774"/>
      <c r="Y258" s="775"/>
      <c r="Z258" s="775"/>
      <c r="AA258" s="776"/>
      <c r="AB258" s="254"/>
      <c r="AC258" s="418"/>
    </row>
    <row r="259" spans="1:29" s="199" customFormat="1" ht="13.5" customHeight="1" x14ac:dyDescent="0.2">
      <c r="A259" s="469"/>
      <c r="B259" s="254"/>
      <c r="C259" s="254"/>
      <c r="D259" s="316"/>
      <c r="E259" s="317"/>
      <c r="F259" s="317"/>
      <c r="G259" s="318"/>
      <c r="H259" s="293"/>
      <c r="I259" s="628"/>
      <c r="J259" s="629"/>
      <c r="K259" s="629"/>
      <c r="L259" s="630"/>
      <c r="M259" s="293"/>
      <c r="N259" s="628"/>
      <c r="O259" s="629"/>
      <c r="P259" s="629"/>
      <c r="Q259" s="630"/>
      <c r="R259" s="293"/>
      <c r="S259" s="628"/>
      <c r="T259" s="629"/>
      <c r="U259" s="629"/>
      <c r="V259" s="630"/>
      <c r="W259" s="293"/>
      <c r="X259" s="774"/>
      <c r="Y259" s="775"/>
      <c r="Z259" s="775"/>
      <c r="AA259" s="776"/>
      <c r="AB259" s="254"/>
      <c r="AC259" s="418"/>
    </row>
    <row r="260" spans="1:29" s="199" customFormat="1" ht="13.5" customHeight="1" x14ac:dyDescent="0.2">
      <c r="A260" s="469"/>
      <c r="B260" s="254"/>
      <c r="C260" s="254"/>
      <c r="D260" s="791"/>
      <c r="E260" s="792"/>
      <c r="F260" s="792"/>
      <c r="G260" s="793"/>
      <c r="H260" s="293"/>
      <c r="I260" s="791"/>
      <c r="J260" s="792"/>
      <c r="K260" s="792"/>
      <c r="L260" s="793"/>
      <c r="M260" s="293"/>
      <c r="N260" s="791"/>
      <c r="O260" s="792"/>
      <c r="P260" s="792"/>
      <c r="Q260" s="793"/>
      <c r="R260" s="293"/>
      <c r="S260" s="791"/>
      <c r="T260" s="792"/>
      <c r="U260" s="792"/>
      <c r="V260" s="793"/>
      <c r="W260" s="293"/>
      <c r="X260" s="774"/>
      <c r="Y260" s="775"/>
      <c r="Z260" s="775"/>
      <c r="AA260" s="776"/>
      <c r="AB260" s="254"/>
      <c r="AC260" s="418"/>
    </row>
    <row r="261" spans="1:29" s="199" customFormat="1" ht="13.5" customHeight="1" x14ac:dyDescent="0.2">
      <c r="A261" s="469"/>
      <c r="B261" s="254"/>
      <c r="C261" s="254"/>
      <c r="D261" s="794"/>
      <c r="E261" s="795"/>
      <c r="F261" s="795"/>
      <c r="G261" s="796"/>
      <c r="H261" s="293"/>
      <c r="I261" s="794"/>
      <c r="J261" s="795"/>
      <c r="K261" s="795"/>
      <c r="L261" s="796"/>
      <c r="M261" s="293"/>
      <c r="N261" s="794"/>
      <c r="O261" s="795"/>
      <c r="P261" s="795"/>
      <c r="Q261" s="796"/>
      <c r="R261" s="293"/>
      <c r="S261" s="794"/>
      <c r="T261" s="795"/>
      <c r="U261" s="795"/>
      <c r="V261" s="796"/>
      <c r="W261" s="293"/>
      <c r="X261" s="777"/>
      <c r="Y261" s="778"/>
      <c r="Z261" s="778"/>
      <c r="AA261" s="779"/>
      <c r="AB261" s="254"/>
      <c r="AC261" s="418"/>
    </row>
    <row r="262" spans="1:29" s="199" customFormat="1" ht="13.5" customHeight="1" x14ac:dyDescent="0.25">
      <c r="A262" s="469"/>
      <c r="B262" s="254"/>
      <c r="C262" s="254"/>
      <c r="D262" s="867" t="s">
        <v>534</v>
      </c>
      <c r="E262" s="868"/>
      <c r="F262" s="868"/>
      <c r="G262" s="869"/>
      <c r="H262" s="293"/>
      <c r="I262" s="867" t="s">
        <v>448</v>
      </c>
      <c r="J262" s="868"/>
      <c r="K262" s="868"/>
      <c r="L262" s="869"/>
      <c r="M262" s="293"/>
      <c r="N262" s="857" t="s">
        <v>310</v>
      </c>
      <c r="O262" s="858"/>
      <c r="P262" s="858"/>
      <c r="Q262" s="859"/>
      <c r="R262" s="293"/>
      <c r="S262" s="857" t="s">
        <v>533</v>
      </c>
      <c r="T262" s="858"/>
      <c r="U262" s="858"/>
      <c r="V262" s="859"/>
      <c r="W262" s="293"/>
      <c r="X262" s="857" t="s">
        <v>456</v>
      </c>
      <c r="Y262" s="858"/>
      <c r="Z262" s="858"/>
      <c r="AA262" s="859"/>
      <c r="AB262" s="254"/>
      <c r="AC262" s="418"/>
    </row>
    <row r="263" spans="1:29" s="287" customFormat="1" ht="13.5" customHeight="1" x14ac:dyDescent="0.2">
      <c r="A263" s="472"/>
      <c r="B263" s="260"/>
      <c r="C263" s="260"/>
      <c r="D263" s="766" t="s">
        <v>542</v>
      </c>
      <c r="E263" s="767"/>
      <c r="F263" s="767"/>
      <c r="G263" s="783"/>
      <c r="H263" s="346"/>
      <c r="I263" s="1232" t="s">
        <v>541</v>
      </c>
      <c r="J263" s="1232"/>
      <c r="K263" s="1233"/>
      <c r="L263" s="1233"/>
      <c r="M263" s="346"/>
      <c r="N263" s="860" t="s">
        <v>540</v>
      </c>
      <c r="O263" s="861"/>
      <c r="P263" s="861"/>
      <c r="Q263" s="862"/>
      <c r="R263" s="346"/>
      <c r="S263" s="1139" t="s">
        <v>539</v>
      </c>
      <c r="T263" s="1139"/>
      <c r="U263" s="1140"/>
      <c r="V263" s="1140"/>
      <c r="W263" s="347"/>
      <c r="X263" s="1032" t="s">
        <v>849</v>
      </c>
      <c r="Y263" s="1033"/>
      <c r="Z263" s="1033"/>
      <c r="AA263" s="1034"/>
      <c r="AB263" s="260"/>
      <c r="AC263" s="421"/>
    </row>
    <row r="264" spans="1:29" s="287" customFormat="1" ht="13.5" customHeight="1" x14ac:dyDescent="0.2">
      <c r="A264" s="472"/>
      <c r="B264" s="260"/>
      <c r="C264" s="260"/>
      <c r="D264" s="860" t="s">
        <v>580</v>
      </c>
      <c r="E264" s="861"/>
      <c r="F264" s="1010"/>
      <c r="G264" s="1011"/>
      <c r="H264" s="346"/>
      <c r="I264" s="860" t="s">
        <v>581</v>
      </c>
      <c r="J264" s="861"/>
      <c r="K264" s="861"/>
      <c r="L264" s="862"/>
      <c r="M264" s="346"/>
      <c r="N264" s="860" t="s">
        <v>582</v>
      </c>
      <c r="O264" s="861"/>
      <c r="P264" s="861"/>
      <c r="Q264" s="862"/>
      <c r="R264" s="346"/>
      <c r="S264" s="860" t="s">
        <v>585</v>
      </c>
      <c r="T264" s="861"/>
      <c r="U264" s="1010"/>
      <c r="V264" s="1011"/>
      <c r="W264" s="301"/>
      <c r="X264" s="860" t="s">
        <v>586</v>
      </c>
      <c r="Y264" s="861"/>
      <c r="Z264" s="861"/>
      <c r="AA264" s="862"/>
      <c r="AB264" s="260"/>
      <c r="AC264" s="421"/>
    </row>
    <row r="265" spans="1:29" s="199" customFormat="1" ht="16.149999999999999" customHeight="1" thickBot="1" x14ac:dyDescent="0.3">
      <c r="A265" s="469"/>
      <c r="B265" s="254"/>
      <c r="C265" s="254"/>
      <c r="D265" s="870">
        <v>2.23</v>
      </c>
      <c r="E265" s="871"/>
      <c r="F265" s="906">
        <v>0</v>
      </c>
      <c r="G265" s="907"/>
      <c r="H265" s="293"/>
      <c r="I265" s="815">
        <v>2.14</v>
      </c>
      <c r="J265" s="816"/>
      <c r="K265" s="906">
        <v>0</v>
      </c>
      <c r="L265" s="907"/>
      <c r="M265" s="293"/>
      <c r="N265" s="991">
        <v>1.79</v>
      </c>
      <c r="O265" s="992"/>
      <c r="P265" s="1030">
        <v>0</v>
      </c>
      <c r="Q265" s="1031"/>
      <c r="R265" s="293"/>
      <c r="S265" s="1169">
        <v>5.04</v>
      </c>
      <c r="T265" s="1170"/>
      <c r="U265" s="1030">
        <v>0</v>
      </c>
      <c r="V265" s="1031"/>
      <c r="W265" s="293"/>
      <c r="X265" s="991">
        <v>1.88</v>
      </c>
      <c r="Y265" s="992"/>
      <c r="Z265" s="1030">
        <v>0</v>
      </c>
      <c r="AA265" s="1031"/>
      <c r="AB265" s="254"/>
      <c r="AC265" s="418"/>
    </row>
    <row r="266" spans="1:29" s="199" customFormat="1" ht="10.15" customHeight="1" x14ac:dyDescent="0.2">
      <c r="A266" s="469"/>
      <c r="B266" s="254"/>
      <c r="C266" s="254"/>
      <c r="D266" s="635"/>
      <c r="E266" s="635"/>
      <c r="F266" s="631"/>
      <c r="G266" s="631"/>
      <c r="H266" s="293"/>
      <c r="I266" s="635"/>
      <c r="J266" s="635"/>
      <c r="K266" s="631"/>
      <c r="L266" s="631"/>
      <c r="M266" s="293"/>
      <c r="N266" s="635"/>
      <c r="O266" s="635"/>
      <c r="P266" s="631"/>
      <c r="Q266" s="631"/>
      <c r="R266" s="293"/>
      <c r="S266" s="635"/>
      <c r="T266" s="635"/>
      <c r="U266" s="631"/>
      <c r="V266" s="631"/>
      <c r="W266" s="293"/>
      <c r="X266" s="636"/>
      <c r="Y266" s="636"/>
      <c r="Z266" s="631"/>
      <c r="AA266" s="631"/>
      <c r="AB266" s="254"/>
      <c r="AC266" s="418"/>
    </row>
    <row r="267" spans="1:29" s="199" customFormat="1" ht="13.5" customHeight="1" x14ac:dyDescent="0.2">
      <c r="A267" s="469"/>
      <c r="B267" s="254"/>
      <c r="C267" s="254"/>
      <c r="D267" s="788"/>
      <c r="E267" s="789"/>
      <c r="F267" s="789"/>
      <c r="G267" s="790"/>
      <c r="H267" s="293"/>
      <c r="I267" s="788"/>
      <c r="J267" s="789"/>
      <c r="K267" s="789"/>
      <c r="L267" s="790"/>
      <c r="M267" s="293"/>
      <c r="N267" s="788"/>
      <c r="O267" s="789"/>
      <c r="P267" s="789"/>
      <c r="Q267" s="790"/>
      <c r="R267" s="293"/>
      <c r="S267" s="788"/>
      <c r="T267" s="789"/>
      <c r="U267" s="789"/>
      <c r="V267" s="790"/>
      <c r="W267" s="293"/>
      <c r="X267" s="636"/>
      <c r="Y267" s="636"/>
      <c r="Z267" s="631"/>
      <c r="AA267" s="631"/>
      <c r="AB267" s="254"/>
      <c r="AC267" s="418"/>
    </row>
    <row r="268" spans="1:29" s="199" customFormat="1" ht="13.5" customHeight="1" x14ac:dyDescent="0.2">
      <c r="A268" s="469"/>
      <c r="B268" s="254"/>
      <c r="C268" s="254"/>
      <c r="D268" s="791"/>
      <c r="E268" s="792"/>
      <c r="F268" s="792"/>
      <c r="G268" s="793"/>
      <c r="H268" s="293"/>
      <c r="I268" s="791"/>
      <c r="J268" s="792"/>
      <c r="K268" s="792"/>
      <c r="L268" s="793"/>
      <c r="M268" s="293"/>
      <c r="N268" s="791"/>
      <c r="O268" s="792"/>
      <c r="P268" s="792"/>
      <c r="Q268" s="793"/>
      <c r="R268" s="293"/>
      <c r="S268" s="791"/>
      <c r="T268" s="792"/>
      <c r="U268" s="792"/>
      <c r="V268" s="793"/>
      <c r="W268" s="293"/>
      <c r="X268" s="636"/>
      <c r="Y268" s="636"/>
      <c r="Z268" s="631"/>
      <c r="AA268" s="631"/>
      <c r="AB268" s="254"/>
      <c r="AC268" s="418"/>
    </row>
    <row r="269" spans="1:29" s="199" customFormat="1" ht="13.5" customHeight="1" x14ac:dyDescent="0.2">
      <c r="A269" s="469"/>
      <c r="B269" s="254"/>
      <c r="C269" s="254"/>
      <c r="D269" s="791"/>
      <c r="E269" s="792"/>
      <c r="F269" s="792"/>
      <c r="G269" s="793"/>
      <c r="H269" s="293"/>
      <c r="I269" s="791"/>
      <c r="J269" s="792"/>
      <c r="K269" s="792"/>
      <c r="L269" s="793"/>
      <c r="M269" s="293"/>
      <c r="N269" s="791"/>
      <c r="O269" s="792"/>
      <c r="P269" s="792"/>
      <c r="Q269" s="793"/>
      <c r="R269" s="293"/>
      <c r="S269" s="791"/>
      <c r="T269" s="792"/>
      <c r="U269" s="792"/>
      <c r="V269" s="793"/>
      <c r="W269" s="293"/>
      <c r="X269" s="636"/>
      <c r="Y269" s="636"/>
      <c r="Z269" s="631"/>
      <c r="AA269" s="631"/>
      <c r="AB269" s="254"/>
      <c r="AC269" s="418"/>
    </row>
    <row r="270" spans="1:29" s="199" customFormat="1" ht="13.5" customHeight="1" x14ac:dyDescent="0.2">
      <c r="A270" s="469"/>
      <c r="B270" s="254"/>
      <c r="C270" s="254"/>
      <c r="D270" s="628"/>
      <c r="E270" s="629"/>
      <c r="F270" s="629"/>
      <c r="G270" s="630"/>
      <c r="H270" s="293"/>
      <c r="I270" s="628"/>
      <c r="J270" s="629"/>
      <c r="K270" s="629"/>
      <c r="L270" s="630"/>
      <c r="M270" s="293"/>
      <c r="N270" s="628"/>
      <c r="O270" s="629"/>
      <c r="P270" s="629"/>
      <c r="Q270" s="630"/>
      <c r="R270" s="293"/>
      <c r="S270" s="670"/>
      <c r="T270" s="671"/>
      <c r="U270" s="671"/>
      <c r="V270" s="672"/>
      <c r="W270" s="293"/>
      <c r="X270" s="636"/>
      <c r="Y270" s="636"/>
      <c r="Z270" s="631"/>
      <c r="AA270" s="631"/>
      <c r="AB270" s="254"/>
      <c r="AC270" s="418"/>
    </row>
    <row r="271" spans="1:29" s="199" customFormat="1" ht="13.5" customHeight="1" x14ac:dyDescent="0.2">
      <c r="A271" s="469"/>
      <c r="B271" s="254"/>
      <c r="C271" s="254"/>
      <c r="D271" s="791"/>
      <c r="E271" s="792"/>
      <c r="F271" s="792"/>
      <c r="G271" s="793"/>
      <c r="H271" s="293"/>
      <c r="I271" s="791"/>
      <c r="J271" s="792"/>
      <c r="K271" s="792"/>
      <c r="L271" s="793"/>
      <c r="M271" s="293"/>
      <c r="N271" s="791"/>
      <c r="O271" s="792"/>
      <c r="P271" s="792"/>
      <c r="Q271" s="793"/>
      <c r="R271" s="293"/>
      <c r="S271" s="791"/>
      <c r="T271" s="792"/>
      <c r="U271" s="792"/>
      <c r="V271" s="793"/>
      <c r="W271" s="293"/>
      <c r="X271" s="636"/>
      <c r="Y271" s="636"/>
      <c r="Z271" s="631"/>
      <c r="AA271" s="631"/>
      <c r="AB271" s="254"/>
      <c r="AC271" s="418"/>
    </row>
    <row r="272" spans="1:29" s="199" customFormat="1" ht="13.5" customHeight="1" x14ac:dyDescent="0.2">
      <c r="A272" s="469"/>
      <c r="B272" s="254"/>
      <c r="C272" s="254"/>
      <c r="D272" s="794"/>
      <c r="E272" s="795"/>
      <c r="F272" s="795"/>
      <c r="G272" s="796"/>
      <c r="H272" s="293"/>
      <c r="I272" s="794"/>
      <c r="J272" s="795"/>
      <c r="K272" s="795"/>
      <c r="L272" s="796"/>
      <c r="M272" s="293"/>
      <c r="N272" s="794"/>
      <c r="O272" s="795"/>
      <c r="P272" s="795"/>
      <c r="Q272" s="796"/>
      <c r="R272" s="293"/>
      <c r="S272" s="794"/>
      <c r="T272" s="795"/>
      <c r="U272" s="795"/>
      <c r="V272" s="796"/>
      <c r="W272" s="293"/>
      <c r="X272" s="636"/>
      <c r="Y272" s="636"/>
      <c r="Z272" s="631"/>
      <c r="AA272" s="631"/>
      <c r="AB272" s="254"/>
      <c r="AC272" s="418"/>
    </row>
    <row r="273" spans="1:29" s="199" customFormat="1" ht="18.75" customHeight="1" x14ac:dyDescent="0.25">
      <c r="A273" s="469"/>
      <c r="B273" s="254"/>
      <c r="C273" s="254"/>
      <c r="D273" s="867" t="s">
        <v>457</v>
      </c>
      <c r="E273" s="868"/>
      <c r="F273" s="868"/>
      <c r="G273" s="869"/>
      <c r="H273" s="293"/>
      <c r="I273" s="867" t="s">
        <v>847</v>
      </c>
      <c r="J273" s="868"/>
      <c r="K273" s="868"/>
      <c r="L273" s="869"/>
      <c r="M273" s="293"/>
      <c r="N273" s="857" t="s">
        <v>848</v>
      </c>
      <c r="O273" s="858"/>
      <c r="P273" s="858"/>
      <c r="Q273" s="859"/>
      <c r="R273" s="293"/>
      <c r="S273" s="857" t="s">
        <v>309</v>
      </c>
      <c r="T273" s="858"/>
      <c r="U273" s="858"/>
      <c r="V273" s="859"/>
      <c r="W273" s="293"/>
      <c r="X273" s="636"/>
      <c r="Y273" s="636"/>
      <c r="Z273" s="631"/>
      <c r="AA273" s="631"/>
      <c r="AB273" s="254"/>
      <c r="AC273" s="418"/>
    </row>
    <row r="274" spans="1:29" s="287" customFormat="1" ht="13.5" customHeight="1" x14ac:dyDescent="0.2">
      <c r="A274" s="472"/>
      <c r="B274" s="260"/>
      <c r="C274" s="260"/>
      <c r="D274" s="1041" t="s">
        <v>538</v>
      </c>
      <c r="E274" s="1041"/>
      <c r="F274" s="1042"/>
      <c r="G274" s="1042"/>
      <c r="H274" s="346"/>
      <c r="I274" s="1041" t="s">
        <v>913</v>
      </c>
      <c r="J274" s="1041"/>
      <c r="K274" s="1042"/>
      <c r="L274" s="1042"/>
      <c r="M274" s="346"/>
      <c r="N274" s="1166" t="s">
        <v>914</v>
      </c>
      <c r="O274" s="1167"/>
      <c r="P274" s="1167"/>
      <c r="Q274" s="1168"/>
      <c r="R274" s="346"/>
      <c r="S274" s="860" t="s">
        <v>537</v>
      </c>
      <c r="T274" s="861"/>
      <c r="U274" s="861"/>
      <c r="V274" s="862"/>
      <c r="W274" s="346"/>
      <c r="X274" s="636"/>
      <c r="Y274" s="636"/>
      <c r="Z274" s="631"/>
      <c r="AA274" s="631"/>
      <c r="AB274" s="260"/>
      <c r="AC274" s="421"/>
    </row>
    <row r="275" spans="1:29" s="287" customFormat="1" ht="13.5" customHeight="1" x14ac:dyDescent="0.2">
      <c r="A275" s="472"/>
      <c r="B275" s="260"/>
      <c r="C275" s="260"/>
      <c r="D275" s="860" t="s">
        <v>591</v>
      </c>
      <c r="E275" s="861"/>
      <c r="F275" s="861"/>
      <c r="G275" s="862"/>
      <c r="H275" s="346"/>
      <c r="I275" s="860" t="s">
        <v>840</v>
      </c>
      <c r="J275" s="861"/>
      <c r="K275" s="861"/>
      <c r="L275" s="862"/>
      <c r="M275" s="346"/>
      <c r="N275" s="860" t="s">
        <v>841</v>
      </c>
      <c r="O275" s="861"/>
      <c r="P275" s="861"/>
      <c r="Q275" s="862"/>
      <c r="R275" s="346"/>
      <c r="S275" s="860" t="s">
        <v>592</v>
      </c>
      <c r="T275" s="861"/>
      <c r="U275" s="861"/>
      <c r="V275" s="862"/>
      <c r="W275" s="346"/>
      <c r="X275" s="636"/>
      <c r="Y275" s="636"/>
      <c r="Z275" s="631"/>
      <c r="AA275" s="631"/>
      <c r="AB275" s="260"/>
      <c r="AC275" s="421"/>
    </row>
    <row r="276" spans="1:29" s="199" customFormat="1" ht="16.149999999999999" customHeight="1" thickBot="1" x14ac:dyDescent="0.3">
      <c r="A276" s="469"/>
      <c r="B276" s="254"/>
      <c r="C276" s="254"/>
      <c r="D276" s="815">
        <v>1.75</v>
      </c>
      <c r="E276" s="816"/>
      <c r="F276" s="906">
        <v>0</v>
      </c>
      <c r="G276" s="907"/>
      <c r="H276" s="293"/>
      <c r="I276" s="815">
        <v>2.38</v>
      </c>
      <c r="J276" s="816"/>
      <c r="K276" s="906">
        <v>0</v>
      </c>
      <c r="L276" s="907"/>
      <c r="M276" s="293"/>
      <c r="N276" s="815">
        <v>2.81</v>
      </c>
      <c r="O276" s="816"/>
      <c r="P276" s="906">
        <v>0</v>
      </c>
      <c r="Q276" s="907"/>
      <c r="R276" s="293"/>
      <c r="S276" s="815">
        <v>2.58</v>
      </c>
      <c r="T276" s="816"/>
      <c r="U276" s="906">
        <v>0</v>
      </c>
      <c r="V276" s="907"/>
      <c r="W276" s="293"/>
      <c r="X276" s="636"/>
      <c r="Y276" s="636"/>
      <c r="Z276" s="631"/>
      <c r="AA276" s="631"/>
      <c r="AB276" s="254"/>
      <c r="AC276" s="418"/>
    </row>
    <row r="277" spans="1:29" s="188" customFormat="1" ht="27" customHeight="1" x14ac:dyDescent="0.2">
      <c r="A277" s="254"/>
      <c r="B277" s="254"/>
      <c r="C277" s="254"/>
      <c r="D277" s="479"/>
      <c r="E277" s="479"/>
      <c r="F277" s="452"/>
      <c r="G277" s="452"/>
      <c r="H277" s="290"/>
      <c r="I277" s="479"/>
      <c r="J277" s="479"/>
      <c r="K277" s="452"/>
      <c r="L277" s="452"/>
      <c r="M277" s="290"/>
      <c r="N277" s="479"/>
      <c r="O277" s="479"/>
      <c r="P277" s="452"/>
      <c r="Q277" s="452"/>
      <c r="R277" s="290"/>
      <c r="S277" s="479"/>
      <c r="T277" s="479"/>
      <c r="U277" s="452"/>
      <c r="V277" s="452"/>
      <c r="W277" s="290"/>
      <c r="X277" s="479"/>
      <c r="Y277" s="479"/>
      <c r="Z277" s="452"/>
      <c r="AA277" s="452"/>
      <c r="AB277" s="254"/>
      <c r="AC277" s="206"/>
    </row>
    <row r="278" spans="1:29" s="277" customFormat="1" ht="27" customHeight="1" x14ac:dyDescent="0.25">
      <c r="A278" s="473"/>
      <c r="B278" s="430"/>
      <c r="C278" s="430"/>
      <c r="D278" s="863" t="s">
        <v>8</v>
      </c>
      <c r="E278" s="863"/>
      <c r="F278" s="863"/>
      <c r="G278" s="863"/>
      <c r="H278" s="863"/>
      <c r="I278" s="863"/>
      <c r="J278" s="863"/>
      <c r="K278" s="863"/>
      <c r="L278" s="863"/>
      <c r="M278" s="863"/>
      <c r="N278" s="863"/>
      <c r="O278" s="863"/>
      <c r="P278" s="863"/>
      <c r="Q278" s="863"/>
      <c r="R278" s="863"/>
      <c r="S278" s="863"/>
      <c r="T278" s="863"/>
      <c r="U278" s="863"/>
      <c r="V278" s="863"/>
      <c r="W278" s="863"/>
      <c r="X278" s="863"/>
      <c r="Y278" s="863"/>
      <c r="Z278" s="863"/>
      <c r="AA278" s="863"/>
      <c r="AB278" s="430"/>
      <c r="AC278" s="422"/>
    </row>
    <row r="279" spans="1:29" s="190" customFormat="1" ht="27" customHeight="1" x14ac:dyDescent="0.3">
      <c r="A279" s="463"/>
      <c r="B279" s="258"/>
      <c r="C279" s="258"/>
      <c r="D279" s="438"/>
      <c r="E279" s="438"/>
      <c r="F279" s="438"/>
      <c r="G279" s="438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438"/>
      <c r="T279" s="438"/>
      <c r="U279" s="438"/>
      <c r="V279" s="438"/>
      <c r="W279" s="307"/>
      <c r="X279" s="307"/>
      <c r="Y279" s="307"/>
      <c r="Z279" s="307"/>
      <c r="AA279" s="307"/>
      <c r="AB279" s="258"/>
      <c r="AC279" s="414"/>
    </row>
    <row r="280" spans="1:29" ht="12.75" customHeight="1" x14ac:dyDescent="0.2">
      <c r="A280" s="462"/>
      <c r="B280" s="1129" t="s">
        <v>167</v>
      </c>
      <c r="C280" s="439"/>
      <c r="D280" s="775"/>
      <c r="E280" s="775"/>
      <c r="F280" s="775"/>
      <c r="G280" s="775"/>
      <c r="H280" s="353"/>
      <c r="I280" s="788"/>
      <c r="J280" s="789"/>
      <c r="K280" s="789"/>
      <c r="L280" s="789"/>
      <c r="M280" s="293"/>
      <c r="N280" s="788"/>
      <c r="O280" s="789"/>
      <c r="P280" s="789"/>
      <c r="Q280" s="789"/>
      <c r="R280" s="353"/>
      <c r="S280" s="792"/>
      <c r="T280" s="792"/>
      <c r="U280" s="792"/>
      <c r="V280" s="792"/>
      <c r="W280" s="343"/>
      <c r="X280" s="963"/>
      <c r="Y280" s="963"/>
      <c r="Z280" s="963"/>
      <c r="AA280" s="963"/>
      <c r="AB280" s="254"/>
    </row>
    <row r="281" spans="1:29" ht="14.25" x14ac:dyDescent="0.2">
      <c r="A281" s="462"/>
      <c r="B281" s="1129"/>
      <c r="C281" s="439"/>
      <c r="D281" s="775"/>
      <c r="E281" s="775"/>
      <c r="F281" s="775"/>
      <c r="G281" s="775"/>
      <c r="H281" s="353"/>
      <c r="I281" s="791"/>
      <c r="J281" s="792"/>
      <c r="K281" s="792"/>
      <c r="L281" s="792"/>
      <c r="M281" s="293"/>
      <c r="N281" s="791"/>
      <c r="O281" s="792"/>
      <c r="P281" s="792"/>
      <c r="Q281" s="792"/>
      <c r="R281" s="353"/>
      <c r="S281" s="792"/>
      <c r="T281" s="792"/>
      <c r="U281" s="792"/>
      <c r="V281" s="792"/>
      <c r="W281" s="343"/>
      <c r="X281" s="963"/>
      <c r="Y281" s="963"/>
      <c r="Z281" s="963"/>
      <c r="AA281" s="963"/>
      <c r="AB281" s="254"/>
    </row>
    <row r="282" spans="1:29" ht="14.25" x14ac:dyDescent="0.2">
      <c r="A282" s="462"/>
      <c r="B282" s="1129"/>
      <c r="C282" s="439"/>
      <c r="D282" s="451"/>
      <c r="E282" s="451"/>
      <c r="F282" s="451"/>
      <c r="G282" s="451"/>
      <c r="H282" s="353"/>
      <c r="I282" s="670"/>
      <c r="J282" s="671"/>
      <c r="K282" s="671"/>
      <c r="L282" s="671"/>
      <c r="M282" s="293"/>
      <c r="N282" s="316"/>
      <c r="O282" s="317"/>
      <c r="P282" s="317"/>
      <c r="Q282" s="397"/>
      <c r="R282" s="353"/>
      <c r="S282" s="397"/>
      <c r="T282" s="317"/>
      <c r="U282" s="317"/>
      <c r="V282" s="397"/>
      <c r="W282" s="343"/>
      <c r="X282" s="715"/>
      <c r="Y282" s="715"/>
      <c r="Z282" s="715"/>
      <c r="AA282" s="715"/>
      <c r="AB282" s="254"/>
    </row>
    <row r="283" spans="1:29" ht="14.25" x14ac:dyDescent="0.2">
      <c r="A283" s="462"/>
      <c r="B283" s="1129"/>
      <c r="C283" s="439"/>
      <c r="D283" s="775"/>
      <c r="E283" s="775"/>
      <c r="F283" s="775"/>
      <c r="G283" s="775"/>
      <c r="H283" s="353"/>
      <c r="I283" s="791"/>
      <c r="J283" s="792"/>
      <c r="K283" s="792"/>
      <c r="L283" s="792"/>
      <c r="M283" s="293"/>
      <c r="N283" s="791"/>
      <c r="O283" s="792"/>
      <c r="P283" s="792"/>
      <c r="Q283" s="792"/>
      <c r="R283" s="353"/>
      <c r="S283" s="792"/>
      <c r="T283" s="792"/>
      <c r="U283" s="792"/>
      <c r="V283" s="792"/>
      <c r="W283" s="343"/>
      <c r="X283" s="963"/>
      <c r="Y283" s="963"/>
      <c r="Z283" s="963"/>
      <c r="AA283" s="963"/>
      <c r="AB283" s="254"/>
    </row>
    <row r="284" spans="1:29" ht="14.25" x14ac:dyDescent="0.2">
      <c r="A284" s="462"/>
      <c r="B284" s="1129"/>
      <c r="C284" s="439"/>
      <c r="D284" s="775"/>
      <c r="E284" s="775"/>
      <c r="F284" s="775"/>
      <c r="G284" s="775"/>
      <c r="H284" s="353"/>
      <c r="I284" s="791"/>
      <c r="J284" s="792"/>
      <c r="K284" s="792"/>
      <c r="L284" s="792"/>
      <c r="M284" s="293"/>
      <c r="N284" s="791"/>
      <c r="O284" s="792"/>
      <c r="P284" s="792"/>
      <c r="Q284" s="792"/>
      <c r="R284" s="353"/>
      <c r="S284" s="792"/>
      <c r="T284" s="792"/>
      <c r="U284" s="792"/>
      <c r="V284" s="792"/>
      <c r="W284" s="343"/>
      <c r="X284" s="963"/>
      <c r="Y284" s="963"/>
      <c r="Z284" s="963"/>
      <c r="AA284" s="963"/>
      <c r="AB284" s="254"/>
    </row>
    <row r="285" spans="1:29" ht="14.25" x14ac:dyDescent="0.2">
      <c r="A285" s="462"/>
      <c r="B285" s="1129"/>
      <c r="C285" s="439"/>
      <c r="D285" s="777"/>
      <c r="E285" s="778"/>
      <c r="F285" s="778"/>
      <c r="G285" s="779"/>
      <c r="H285" s="353"/>
      <c r="I285" s="794"/>
      <c r="J285" s="795"/>
      <c r="K285" s="795"/>
      <c r="L285" s="795"/>
      <c r="M285" s="293"/>
      <c r="N285" s="794"/>
      <c r="O285" s="795"/>
      <c r="P285" s="795"/>
      <c r="Q285" s="795"/>
      <c r="R285" s="353"/>
      <c r="S285" s="792"/>
      <c r="T285" s="792"/>
      <c r="U285" s="792"/>
      <c r="V285" s="792"/>
      <c r="W285" s="343"/>
      <c r="X285" s="963"/>
      <c r="Y285" s="963"/>
      <c r="Z285" s="963"/>
      <c r="AA285" s="963"/>
      <c r="AB285" s="254"/>
    </row>
    <row r="286" spans="1:29" ht="15" x14ac:dyDescent="0.25">
      <c r="A286" s="462"/>
      <c r="B286" s="1129"/>
      <c r="C286" s="278"/>
      <c r="D286" s="914" t="s">
        <v>230</v>
      </c>
      <c r="E286" s="915"/>
      <c r="F286" s="915"/>
      <c r="G286" s="916"/>
      <c r="H286" s="293"/>
      <c r="I286" s="800" t="s">
        <v>215</v>
      </c>
      <c r="J286" s="801"/>
      <c r="K286" s="801"/>
      <c r="L286" s="802"/>
      <c r="M286" s="293"/>
      <c r="N286" s="867" t="s">
        <v>437</v>
      </c>
      <c r="O286" s="868"/>
      <c r="P286" s="868"/>
      <c r="Q286" s="869"/>
      <c r="R286" s="293"/>
      <c r="S286" s="867" t="s">
        <v>218</v>
      </c>
      <c r="T286" s="868"/>
      <c r="U286" s="868"/>
      <c r="V286" s="869"/>
      <c r="W286" s="293"/>
      <c r="X286" s="964"/>
      <c r="Y286" s="964"/>
      <c r="Z286" s="964"/>
      <c r="AA286" s="964"/>
      <c r="AB286" s="254"/>
    </row>
    <row r="287" spans="1:29" s="201" customFormat="1" ht="27" customHeight="1" thickBot="1" x14ac:dyDescent="0.3">
      <c r="A287" s="474"/>
      <c r="B287" s="1129"/>
      <c r="C287" s="278"/>
      <c r="D287" s="998" t="s">
        <v>593</v>
      </c>
      <c r="E287" s="875"/>
      <c r="F287" s="875"/>
      <c r="G287" s="876"/>
      <c r="H287" s="308"/>
      <c r="I287" s="998" t="s">
        <v>278</v>
      </c>
      <c r="J287" s="875"/>
      <c r="K287" s="875"/>
      <c r="L287" s="876"/>
      <c r="M287" s="308"/>
      <c r="N287" s="998" t="s">
        <v>438</v>
      </c>
      <c r="O287" s="875"/>
      <c r="P287" s="875"/>
      <c r="Q287" s="876"/>
      <c r="R287" s="308"/>
      <c r="S287" s="998" t="s">
        <v>594</v>
      </c>
      <c r="T287" s="875"/>
      <c r="U287" s="875"/>
      <c r="V287" s="876"/>
      <c r="W287" s="308"/>
      <c r="X287" s="965"/>
      <c r="Y287" s="965"/>
      <c r="Z287" s="965"/>
      <c r="AA287" s="965"/>
      <c r="AB287" s="259"/>
      <c r="AC287" s="423"/>
    </row>
    <row r="288" spans="1:29" ht="16.149999999999999" customHeight="1" thickBot="1" x14ac:dyDescent="0.3">
      <c r="A288" s="462"/>
      <c r="B288" s="1129"/>
      <c r="C288" s="278"/>
      <c r="D288" s="1141">
        <v>0.11</v>
      </c>
      <c r="E288" s="1005"/>
      <c r="F288" s="877">
        <v>50</v>
      </c>
      <c r="G288" s="878"/>
      <c r="H288" s="353"/>
      <c r="I288" s="1006">
        <v>1.1499999999999999</v>
      </c>
      <c r="J288" s="1007"/>
      <c r="K288" s="1043">
        <v>0</v>
      </c>
      <c r="L288" s="1165"/>
      <c r="M288" s="353"/>
      <c r="N288" s="1004">
        <v>1.1499999999999999</v>
      </c>
      <c r="O288" s="1005"/>
      <c r="P288" s="877">
        <v>0</v>
      </c>
      <c r="Q288" s="878"/>
      <c r="R288" s="353"/>
      <c r="S288" s="1004">
        <v>0.25</v>
      </c>
      <c r="T288" s="1005"/>
      <c r="U288" s="877">
        <v>0</v>
      </c>
      <c r="V288" s="999"/>
      <c r="W288" s="343"/>
      <c r="X288" s="990"/>
      <c r="Y288" s="990"/>
      <c r="Z288" s="887"/>
      <c r="AA288" s="887"/>
      <c r="AB288" s="254"/>
    </row>
    <row r="289" spans="1:29" s="577" customFormat="1" ht="16.149999999999999" customHeight="1" x14ac:dyDescent="0.2">
      <c r="A289" s="571"/>
      <c r="B289" s="1129"/>
      <c r="C289" s="278"/>
      <c r="D289" s="615">
        <f>D288*G289</f>
        <v>44</v>
      </c>
      <c r="E289" s="583"/>
      <c r="F289" s="584" t="s">
        <v>291</v>
      </c>
      <c r="G289" s="585">
        <v>400</v>
      </c>
      <c r="H289" s="586"/>
      <c r="I289" s="616">
        <f>I288*L289</f>
        <v>114.99999999999999</v>
      </c>
      <c r="J289" s="583"/>
      <c r="K289" s="584" t="s">
        <v>291</v>
      </c>
      <c r="L289" s="585">
        <v>100</v>
      </c>
      <c r="M289" s="586"/>
      <c r="N289" s="616">
        <f>N288*Q289</f>
        <v>114.99999999999999</v>
      </c>
      <c r="O289" s="583"/>
      <c r="P289" s="584" t="s">
        <v>291</v>
      </c>
      <c r="Q289" s="585">
        <v>100</v>
      </c>
      <c r="R289" s="586"/>
      <c r="S289" s="616">
        <f>S288*V289</f>
        <v>37.5</v>
      </c>
      <c r="T289" s="583"/>
      <c r="U289" s="584" t="s">
        <v>291</v>
      </c>
      <c r="V289" s="585">
        <v>150</v>
      </c>
      <c r="W289" s="716"/>
      <c r="X289" s="703"/>
      <c r="Y289" s="704"/>
      <c r="Z289" s="705"/>
      <c r="AA289" s="706"/>
      <c r="AB289" s="575"/>
      <c r="AC289" s="576"/>
    </row>
    <row r="290" spans="1:29" s="199" customFormat="1" ht="10.15" customHeight="1" x14ac:dyDescent="0.2">
      <c r="A290" s="469"/>
      <c r="B290" s="265"/>
      <c r="C290" s="265"/>
      <c r="D290" s="435"/>
      <c r="E290" s="435"/>
      <c r="F290" s="436"/>
      <c r="G290" s="437"/>
      <c r="H290" s="293"/>
      <c r="I290" s="435"/>
      <c r="J290" s="435"/>
      <c r="K290" s="436"/>
      <c r="L290" s="437"/>
      <c r="M290" s="293"/>
      <c r="N290" s="435"/>
      <c r="O290" s="435"/>
      <c r="P290" s="436"/>
      <c r="Q290" s="437"/>
      <c r="R290" s="293"/>
      <c r="S290" s="435"/>
      <c r="T290" s="435"/>
      <c r="U290" s="436"/>
      <c r="V290" s="437"/>
      <c r="W290" s="293"/>
      <c r="X290" s="356"/>
      <c r="Y290" s="356"/>
      <c r="Z290" s="717"/>
      <c r="AA290" s="718"/>
      <c r="AB290" s="255"/>
      <c r="AC290" s="418"/>
    </row>
    <row r="291" spans="1:29" ht="12.75" customHeight="1" x14ac:dyDescent="0.2">
      <c r="A291" s="462"/>
      <c r="B291" s="1129" t="s">
        <v>279</v>
      </c>
      <c r="C291" s="278"/>
      <c r="D291" s="882"/>
      <c r="E291" s="792"/>
      <c r="F291" s="792"/>
      <c r="G291" s="792"/>
      <c r="H291" s="353"/>
      <c r="I291" s="880"/>
      <c r="J291" s="880"/>
      <c r="K291" s="880"/>
      <c r="L291" s="880"/>
      <c r="M291" s="353"/>
      <c r="N291" s="792"/>
      <c r="O291" s="792"/>
      <c r="P291" s="792"/>
      <c r="Q291" s="792"/>
      <c r="R291" s="353"/>
      <c r="S291" s="775"/>
      <c r="T291" s="775"/>
      <c r="U291" s="775"/>
      <c r="V291" s="775"/>
      <c r="W291" s="353"/>
      <c r="X291" s="775"/>
      <c r="Y291" s="775"/>
      <c r="Z291" s="775"/>
      <c r="AA291" s="775"/>
      <c r="AB291" s="481"/>
    </row>
    <row r="292" spans="1:29" ht="14.25" x14ac:dyDescent="0.2">
      <c r="A292" s="462"/>
      <c r="B292" s="1129"/>
      <c r="C292" s="278"/>
      <c r="D292" s="882"/>
      <c r="E292" s="792"/>
      <c r="F292" s="792"/>
      <c r="G292" s="792"/>
      <c r="H292" s="353"/>
      <c r="I292" s="880"/>
      <c r="J292" s="880"/>
      <c r="K292" s="880"/>
      <c r="L292" s="880"/>
      <c r="M292" s="353"/>
      <c r="N292" s="792"/>
      <c r="O292" s="792"/>
      <c r="P292" s="792"/>
      <c r="Q292" s="792"/>
      <c r="R292" s="353"/>
      <c r="S292" s="855"/>
      <c r="T292" s="962"/>
      <c r="U292" s="962"/>
      <c r="V292" s="855"/>
      <c r="W292" s="353"/>
      <c r="X292" s="855"/>
      <c r="Y292" s="962"/>
      <c r="Z292" s="962"/>
      <c r="AA292" s="855"/>
      <c r="AB292" s="481"/>
    </row>
    <row r="293" spans="1:29" ht="14.25" x14ac:dyDescent="0.2">
      <c r="A293" s="462"/>
      <c r="B293" s="1129"/>
      <c r="C293" s="278"/>
      <c r="D293" s="344"/>
      <c r="E293" s="317"/>
      <c r="F293" s="317"/>
      <c r="G293" s="397"/>
      <c r="H293" s="353"/>
      <c r="I293" s="682"/>
      <c r="J293" s="682"/>
      <c r="K293" s="682"/>
      <c r="L293" s="682"/>
      <c r="M293" s="353"/>
      <c r="N293" s="397"/>
      <c r="O293" s="317"/>
      <c r="P293" s="317"/>
      <c r="Q293" s="397"/>
      <c r="R293" s="353"/>
      <c r="S293" s="855"/>
      <c r="T293" s="962"/>
      <c r="U293" s="962"/>
      <c r="V293" s="855"/>
      <c r="W293" s="353"/>
      <c r="X293" s="855"/>
      <c r="Y293" s="962"/>
      <c r="Z293" s="962"/>
      <c r="AA293" s="855"/>
      <c r="AB293" s="481"/>
    </row>
    <row r="294" spans="1:29" ht="14.25" x14ac:dyDescent="0.2">
      <c r="A294" s="462"/>
      <c r="B294" s="1129"/>
      <c r="C294" s="278"/>
      <c r="D294" s="882"/>
      <c r="E294" s="792"/>
      <c r="F294" s="792"/>
      <c r="G294" s="792"/>
      <c r="H294" s="353"/>
      <c r="I294" s="880"/>
      <c r="J294" s="880"/>
      <c r="K294" s="880"/>
      <c r="L294" s="880"/>
      <c r="M294" s="353"/>
      <c r="N294" s="792"/>
      <c r="O294" s="792"/>
      <c r="P294" s="792"/>
      <c r="Q294" s="792"/>
      <c r="R294" s="353"/>
      <c r="S294" s="855"/>
      <c r="T294" s="962"/>
      <c r="U294" s="962"/>
      <c r="V294" s="855"/>
      <c r="W294" s="353"/>
      <c r="X294" s="855"/>
      <c r="Y294" s="962"/>
      <c r="Z294" s="962"/>
      <c r="AA294" s="855"/>
      <c r="AB294" s="481"/>
    </row>
    <row r="295" spans="1:29" ht="14.25" x14ac:dyDescent="0.2">
      <c r="A295" s="462"/>
      <c r="B295" s="1129"/>
      <c r="C295" s="278"/>
      <c r="D295" s="882"/>
      <c r="E295" s="792"/>
      <c r="F295" s="792"/>
      <c r="G295" s="792"/>
      <c r="H295" s="353"/>
      <c r="I295" s="880"/>
      <c r="J295" s="880"/>
      <c r="K295" s="880"/>
      <c r="L295" s="880"/>
      <c r="M295" s="353"/>
      <c r="N295" s="792"/>
      <c r="O295" s="792"/>
      <c r="P295" s="792"/>
      <c r="Q295" s="792"/>
      <c r="R295" s="353"/>
      <c r="S295" s="855"/>
      <c r="T295" s="962"/>
      <c r="U295" s="962"/>
      <c r="V295" s="855"/>
      <c r="W295" s="353"/>
      <c r="X295" s="855"/>
      <c r="Y295" s="962"/>
      <c r="Z295" s="962"/>
      <c r="AA295" s="855"/>
      <c r="AB295" s="481"/>
    </row>
    <row r="296" spans="1:29" ht="14.25" x14ac:dyDescent="0.2">
      <c r="A296" s="462"/>
      <c r="B296" s="1129"/>
      <c r="C296" s="278"/>
      <c r="D296" s="882"/>
      <c r="E296" s="792"/>
      <c r="F296" s="792"/>
      <c r="G296" s="792"/>
      <c r="H296" s="353"/>
      <c r="I296" s="880"/>
      <c r="J296" s="880"/>
      <c r="K296" s="880"/>
      <c r="L296" s="880"/>
      <c r="M296" s="353"/>
      <c r="N296" s="792"/>
      <c r="O296" s="792"/>
      <c r="P296" s="792"/>
      <c r="Q296" s="792"/>
      <c r="R296" s="353"/>
      <c r="S296" s="855"/>
      <c r="T296" s="855"/>
      <c r="U296" s="855"/>
      <c r="V296" s="855"/>
      <c r="W296" s="353"/>
      <c r="X296" s="855"/>
      <c r="Y296" s="855"/>
      <c r="Z296" s="855"/>
      <c r="AA296" s="855"/>
      <c r="AB296" s="481"/>
    </row>
    <row r="297" spans="1:29" ht="15" x14ac:dyDescent="0.25">
      <c r="A297" s="462"/>
      <c r="B297" s="1129"/>
      <c r="C297" s="278"/>
      <c r="D297" s="867" t="s">
        <v>216</v>
      </c>
      <c r="E297" s="868"/>
      <c r="F297" s="868"/>
      <c r="G297" s="869"/>
      <c r="H297" s="293"/>
      <c r="I297" s="867" t="s">
        <v>217</v>
      </c>
      <c r="J297" s="868"/>
      <c r="K297" s="868"/>
      <c r="L297" s="869"/>
      <c r="M297" s="293"/>
      <c r="N297" s="867" t="s">
        <v>180</v>
      </c>
      <c r="O297" s="868"/>
      <c r="P297" s="868"/>
      <c r="Q297" s="869"/>
      <c r="R297" s="293"/>
      <c r="S297" s="867" t="s">
        <v>440</v>
      </c>
      <c r="T297" s="868"/>
      <c r="U297" s="868"/>
      <c r="V297" s="869"/>
      <c r="W297" s="293"/>
      <c r="X297" s="867" t="s">
        <v>452</v>
      </c>
      <c r="Y297" s="868"/>
      <c r="Z297" s="868"/>
      <c r="AA297" s="869"/>
      <c r="AB297" s="254"/>
    </row>
    <row r="298" spans="1:29" s="201" customFormat="1" ht="27" customHeight="1" thickBot="1" x14ac:dyDescent="0.3">
      <c r="A298" s="474"/>
      <c r="B298" s="1129"/>
      <c r="C298" s="278"/>
      <c r="D298" s="874" t="s">
        <v>595</v>
      </c>
      <c r="E298" s="875"/>
      <c r="F298" s="875"/>
      <c r="G298" s="876"/>
      <c r="H298" s="308"/>
      <c r="I298" s="998" t="s">
        <v>596</v>
      </c>
      <c r="J298" s="875"/>
      <c r="K298" s="875"/>
      <c r="L298" s="876"/>
      <c r="M298" s="308"/>
      <c r="N298" s="998" t="s">
        <v>280</v>
      </c>
      <c r="O298" s="875"/>
      <c r="P298" s="875"/>
      <c r="Q298" s="876"/>
      <c r="R298" s="308"/>
      <c r="S298" s="998" t="s">
        <v>439</v>
      </c>
      <c r="T298" s="875"/>
      <c r="U298" s="875"/>
      <c r="V298" s="876"/>
      <c r="W298" s="308"/>
      <c r="X298" s="998" t="s">
        <v>453</v>
      </c>
      <c r="Y298" s="875"/>
      <c r="Z298" s="875"/>
      <c r="AA298" s="876"/>
      <c r="AB298" s="259"/>
      <c r="AC298" s="423"/>
    </row>
    <row r="299" spans="1:29" ht="16.149999999999999" customHeight="1" thickBot="1" x14ac:dyDescent="0.3">
      <c r="A299" s="462"/>
      <c r="B299" s="1129"/>
      <c r="C299" s="278"/>
      <c r="D299" s="1130">
        <v>2.25</v>
      </c>
      <c r="E299" s="1131"/>
      <c r="F299" s="877">
        <v>12</v>
      </c>
      <c r="G299" s="878"/>
      <c r="H299" s="353"/>
      <c r="I299" s="1156">
        <v>2.25</v>
      </c>
      <c r="J299" s="1157"/>
      <c r="K299" s="877">
        <v>0</v>
      </c>
      <c r="L299" s="878"/>
      <c r="M299" s="353"/>
      <c r="N299" s="1156">
        <v>0.45</v>
      </c>
      <c r="O299" s="1157"/>
      <c r="P299" s="877">
        <v>0</v>
      </c>
      <c r="Q299" s="878"/>
      <c r="R299" s="353"/>
      <c r="S299" s="1004">
        <v>4</v>
      </c>
      <c r="T299" s="1005"/>
      <c r="U299" s="877">
        <v>0</v>
      </c>
      <c r="V299" s="878"/>
      <c r="W299" s="353"/>
      <c r="X299" s="1004">
        <v>4</v>
      </c>
      <c r="Y299" s="1005"/>
      <c r="Z299" s="877">
        <v>0</v>
      </c>
      <c r="AA299" s="999"/>
      <c r="AB299" s="254"/>
    </row>
    <row r="300" spans="1:29" s="577" customFormat="1" ht="16.149999999999999" customHeight="1" x14ac:dyDescent="0.2">
      <c r="A300" s="571"/>
      <c r="B300" s="1129"/>
      <c r="C300" s="278"/>
      <c r="D300" s="615">
        <f>D299*G300</f>
        <v>225</v>
      </c>
      <c r="E300" s="583"/>
      <c r="F300" s="584" t="s">
        <v>291</v>
      </c>
      <c r="G300" s="585">
        <v>100</v>
      </c>
      <c r="H300" s="586"/>
      <c r="I300" s="616">
        <f>I299*L300</f>
        <v>225</v>
      </c>
      <c r="J300" s="587"/>
      <c r="K300" s="588" t="s">
        <v>291</v>
      </c>
      <c r="L300" s="589">
        <v>100</v>
      </c>
      <c r="M300" s="586"/>
      <c r="N300" s="616">
        <f>N299*Q300</f>
        <v>45</v>
      </c>
      <c r="O300" s="583"/>
      <c r="P300" s="584" t="s">
        <v>291</v>
      </c>
      <c r="Q300" s="585">
        <v>100</v>
      </c>
      <c r="R300" s="586"/>
      <c r="S300" s="616">
        <f>S299*V300</f>
        <v>60</v>
      </c>
      <c r="T300" s="583"/>
      <c r="U300" s="584" t="s">
        <v>291</v>
      </c>
      <c r="V300" s="585">
        <v>15</v>
      </c>
      <c r="W300" s="586"/>
      <c r="X300" s="616">
        <f>X299*AA300</f>
        <v>40</v>
      </c>
      <c r="Y300" s="583"/>
      <c r="Z300" s="584" t="s">
        <v>291</v>
      </c>
      <c r="AA300" s="585">
        <v>10</v>
      </c>
      <c r="AB300" s="590"/>
      <c r="AC300" s="576"/>
    </row>
    <row r="301" spans="1:29" s="199" customFormat="1" ht="10.15" customHeight="1" x14ac:dyDescent="0.2">
      <c r="A301" s="469"/>
      <c r="B301" s="255"/>
      <c r="C301" s="255"/>
      <c r="D301" s="432"/>
      <c r="E301" s="432"/>
      <c r="F301" s="433"/>
      <c r="G301" s="434"/>
      <c r="H301" s="293"/>
      <c r="I301" s="432"/>
      <c r="J301" s="432"/>
      <c r="K301" s="433"/>
      <c r="L301" s="434"/>
      <c r="M301" s="293"/>
      <c r="N301" s="432"/>
      <c r="O301" s="432"/>
      <c r="P301" s="433"/>
      <c r="Q301" s="434"/>
      <c r="R301" s="293"/>
      <c r="S301" s="432"/>
      <c r="T301" s="432"/>
      <c r="U301" s="433"/>
      <c r="V301" s="434"/>
      <c r="W301" s="293"/>
      <c r="X301" s="432"/>
      <c r="Y301" s="432"/>
      <c r="Z301" s="433"/>
      <c r="AA301" s="434"/>
      <c r="AB301" s="255"/>
      <c r="AC301" s="418"/>
    </row>
    <row r="302" spans="1:29" ht="12.75" customHeight="1" x14ac:dyDescent="0.2">
      <c r="A302" s="462"/>
      <c r="B302" s="1129" t="s">
        <v>181</v>
      </c>
      <c r="C302" s="278"/>
      <c r="D302" s="788"/>
      <c r="E302" s="789"/>
      <c r="F302" s="789"/>
      <c r="G302" s="790"/>
      <c r="H302" s="293"/>
      <c r="I302" s="803"/>
      <c r="J302" s="804"/>
      <c r="K302" s="804"/>
      <c r="L302" s="805"/>
      <c r="M302" s="293"/>
      <c r="N302" s="803"/>
      <c r="O302" s="804"/>
      <c r="P302" s="804"/>
      <c r="Q302" s="805"/>
      <c r="R302" s="293"/>
      <c r="S302" s="803"/>
      <c r="T302" s="804"/>
      <c r="U302" s="804"/>
      <c r="V302" s="805"/>
      <c r="W302" s="293"/>
      <c r="X302" s="814"/>
      <c r="Y302" s="814"/>
      <c r="Z302" s="814"/>
      <c r="AA302" s="814"/>
      <c r="AB302" s="254"/>
    </row>
    <row r="303" spans="1:29" ht="14.25" x14ac:dyDescent="0.2">
      <c r="A303" s="462"/>
      <c r="B303" s="1129"/>
      <c r="C303" s="278"/>
      <c r="D303" s="791"/>
      <c r="E303" s="792"/>
      <c r="F303" s="792"/>
      <c r="G303" s="793"/>
      <c r="H303" s="293"/>
      <c r="I303" s="791"/>
      <c r="J303" s="792"/>
      <c r="K303" s="792"/>
      <c r="L303" s="793"/>
      <c r="M303" s="293"/>
      <c r="N303" s="791"/>
      <c r="O303" s="792"/>
      <c r="P303" s="792"/>
      <c r="Q303" s="793"/>
      <c r="R303" s="293"/>
      <c r="S303" s="791"/>
      <c r="T303" s="792"/>
      <c r="U303" s="792"/>
      <c r="V303" s="793"/>
      <c r="W303" s="293"/>
      <c r="X303" s="814"/>
      <c r="Y303" s="814"/>
      <c r="Z303" s="814"/>
      <c r="AA303" s="814"/>
      <c r="AB303" s="254"/>
    </row>
    <row r="304" spans="1:29" ht="14.25" x14ac:dyDescent="0.2">
      <c r="A304" s="462"/>
      <c r="B304" s="1129"/>
      <c r="C304" s="278"/>
      <c r="D304" s="791"/>
      <c r="E304" s="792"/>
      <c r="F304" s="792"/>
      <c r="G304" s="793"/>
      <c r="H304" s="293"/>
      <c r="I304" s="791"/>
      <c r="J304" s="792"/>
      <c r="K304" s="792"/>
      <c r="L304" s="793"/>
      <c r="M304" s="293"/>
      <c r="N304" s="791"/>
      <c r="O304" s="792"/>
      <c r="P304" s="792"/>
      <c r="Q304" s="793"/>
      <c r="R304" s="293"/>
      <c r="S304" s="791"/>
      <c r="T304" s="792"/>
      <c r="U304" s="792"/>
      <c r="V304" s="793"/>
      <c r="W304" s="293"/>
      <c r="X304" s="814"/>
      <c r="Y304" s="814"/>
      <c r="Z304" s="814"/>
      <c r="AA304" s="814"/>
      <c r="AB304" s="254"/>
    </row>
    <row r="305" spans="1:29" ht="14.25" x14ac:dyDescent="0.2">
      <c r="A305" s="462"/>
      <c r="B305" s="1129"/>
      <c r="C305" s="278"/>
      <c r="D305" s="316"/>
      <c r="E305" s="317"/>
      <c r="F305" s="317"/>
      <c r="G305" s="318"/>
      <c r="H305" s="293"/>
      <c r="I305" s="316"/>
      <c r="J305" s="317"/>
      <c r="K305" s="317"/>
      <c r="L305" s="318"/>
      <c r="M305" s="293"/>
      <c r="N305" s="316"/>
      <c r="O305" s="317"/>
      <c r="P305" s="317"/>
      <c r="Q305" s="318"/>
      <c r="R305" s="293"/>
      <c r="S305" s="316"/>
      <c r="T305" s="317"/>
      <c r="U305" s="317"/>
      <c r="V305" s="318"/>
      <c r="W305" s="293"/>
      <c r="X305" s="322"/>
      <c r="Y305" s="322"/>
      <c r="Z305" s="322"/>
      <c r="AA305" s="322"/>
      <c r="AB305" s="254"/>
    </row>
    <row r="306" spans="1:29" ht="14.25" x14ac:dyDescent="0.2">
      <c r="A306" s="462"/>
      <c r="B306" s="1129"/>
      <c r="C306" s="278"/>
      <c r="D306" s="791"/>
      <c r="E306" s="792"/>
      <c r="F306" s="792"/>
      <c r="G306" s="793"/>
      <c r="H306" s="293"/>
      <c r="I306" s="791"/>
      <c r="J306" s="792"/>
      <c r="K306" s="792"/>
      <c r="L306" s="793"/>
      <c r="M306" s="293"/>
      <c r="N306" s="791"/>
      <c r="O306" s="792"/>
      <c r="P306" s="792"/>
      <c r="Q306" s="793"/>
      <c r="R306" s="293"/>
      <c r="S306" s="791"/>
      <c r="T306" s="792"/>
      <c r="U306" s="792"/>
      <c r="V306" s="793"/>
      <c r="W306" s="293"/>
      <c r="X306" s="814"/>
      <c r="Y306" s="814"/>
      <c r="Z306" s="814"/>
      <c r="AA306" s="814"/>
      <c r="AB306" s="254"/>
    </row>
    <row r="307" spans="1:29" ht="14.25" x14ac:dyDescent="0.2">
      <c r="A307" s="462"/>
      <c r="B307" s="1129"/>
      <c r="C307" s="278"/>
      <c r="D307" s="794"/>
      <c r="E307" s="795"/>
      <c r="F307" s="795"/>
      <c r="G307" s="796"/>
      <c r="H307" s="293"/>
      <c r="I307" s="794"/>
      <c r="J307" s="795"/>
      <c r="K307" s="795"/>
      <c r="L307" s="796"/>
      <c r="M307" s="293"/>
      <c r="N307" s="794"/>
      <c r="O307" s="795"/>
      <c r="P307" s="795"/>
      <c r="Q307" s="796"/>
      <c r="R307" s="293"/>
      <c r="S307" s="794"/>
      <c r="T307" s="795"/>
      <c r="U307" s="795"/>
      <c r="V307" s="796"/>
      <c r="W307" s="293"/>
      <c r="X307" s="814"/>
      <c r="Y307" s="814"/>
      <c r="Z307" s="814"/>
      <c r="AA307" s="814"/>
      <c r="AB307" s="254"/>
    </row>
    <row r="308" spans="1:29" ht="15" x14ac:dyDescent="0.25">
      <c r="A308" s="462"/>
      <c r="B308" s="1129"/>
      <c r="C308" s="278"/>
      <c r="D308" s="914" t="s">
        <v>186</v>
      </c>
      <c r="E308" s="915"/>
      <c r="F308" s="915"/>
      <c r="G308" s="916"/>
      <c r="H308" s="293"/>
      <c r="I308" s="914" t="s">
        <v>187</v>
      </c>
      <c r="J308" s="915"/>
      <c r="K308" s="915"/>
      <c r="L308" s="916"/>
      <c r="M308" s="293"/>
      <c r="N308" s="883" t="s">
        <v>188</v>
      </c>
      <c r="O308" s="810"/>
      <c r="P308" s="810"/>
      <c r="Q308" s="884"/>
      <c r="R308" s="293"/>
      <c r="S308" s="883" t="s">
        <v>189</v>
      </c>
      <c r="T308" s="810"/>
      <c r="U308" s="810"/>
      <c r="V308" s="884"/>
      <c r="W308" s="293"/>
      <c r="X308" s="959"/>
      <c r="Y308" s="959"/>
      <c r="Z308" s="959"/>
      <c r="AA308" s="959"/>
      <c r="AB308" s="254"/>
    </row>
    <row r="309" spans="1:29" s="201" customFormat="1" ht="27" customHeight="1" x14ac:dyDescent="0.25">
      <c r="A309" s="474"/>
      <c r="B309" s="1129"/>
      <c r="C309" s="278"/>
      <c r="D309" s="766" t="s">
        <v>597</v>
      </c>
      <c r="E309" s="767"/>
      <c r="F309" s="767"/>
      <c r="G309" s="783"/>
      <c r="H309" s="308"/>
      <c r="I309" s="766" t="s">
        <v>165</v>
      </c>
      <c r="J309" s="767"/>
      <c r="K309" s="767"/>
      <c r="L309" s="783"/>
      <c r="M309" s="308"/>
      <c r="N309" s="766" t="s">
        <v>9</v>
      </c>
      <c r="O309" s="767"/>
      <c r="P309" s="767"/>
      <c r="Q309" s="783"/>
      <c r="R309" s="308"/>
      <c r="S309" s="766" t="s">
        <v>10</v>
      </c>
      <c r="T309" s="767"/>
      <c r="U309" s="767"/>
      <c r="V309" s="783"/>
      <c r="W309" s="308"/>
      <c r="X309" s="866"/>
      <c r="Y309" s="866"/>
      <c r="Z309" s="866"/>
      <c r="AA309" s="866"/>
      <c r="AB309" s="259"/>
      <c r="AC309" s="423"/>
    </row>
    <row r="310" spans="1:29" ht="16.149999999999999" customHeight="1" thickBot="1" x14ac:dyDescent="0.3">
      <c r="A310" s="462"/>
      <c r="B310" s="1129"/>
      <c r="C310" s="278"/>
      <c r="D310" s="815">
        <v>0.15</v>
      </c>
      <c r="E310" s="816"/>
      <c r="F310" s="906">
        <v>20</v>
      </c>
      <c r="G310" s="907"/>
      <c r="H310" s="293"/>
      <c r="I310" s="870">
        <v>0.35</v>
      </c>
      <c r="J310" s="871"/>
      <c r="K310" s="906">
        <v>0</v>
      </c>
      <c r="L310" s="907"/>
      <c r="M310" s="293"/>
      <c r="N310" s="957">
        <v>0.18</v>
      </c>
      <c r="O310" s="958"/>
      <c r="P310" s="1000">
        <v>10</v>
      </c>
      <c r="Q310" s="1001"/>
      <c r="R310" s="293"/>
      <c r="S310" s="957">
        <v>0.18</v>
      </c>
      <c r="T310" s="958"/>
      <c r="U310" s="1000">
        <v>6</v>
      </c>
      <c r="V310" s="1001"/>
      <c r="W310" s="293"/>
      <c r="X310" s="956"/>
      <c r="Y310" s="956"/>
      <c r="Z310" s="951"/>
      <c r="AA310" s="951"/>
      <c r="AB310" s="254"/>
    </row>
    <row r="311" spans="1:29" s="577" customFormat="1" ht="16.149999999999999" customHeight="1" x14ac:dyDescent="0.2">
      <c r="A311" s="571"/>
      <c r="B311" s="1129"/>
      <c r="C311" s="278"/>
      <c r="D311" s="611">
        <f>D310*G311</f>
        <v>45</v>
      </c>
      <c r="E311" s="564"/>
      <c r="F311" s="572" t="s">
        <v>291</v>
      </c>
      <c r="G311" s="573">
        <v>300</v>
      </c>
      <c r="H311" s="563"/>
      <c r="I311" s="611">
        <f>I310*L311</f>
        <v>35</v>
      </c>
      <c r="J311" s="564"/>
      <c r="K311" s="572" t="s">
        <v>291</v>
      </c>
      <c r="L311" s="573">
        <v>100</v>
      </c>
      <c r="M311" s="563"/>
      <c r="N311" s="611">
        <f>N310*Q311</f>
        <v>41.4</v>
      </c>
      <c r="O311" s="564"/>
      <c r="P311" s="572" t="s">
        <v>291</v>
      </c>
      <c r="Q311" s="573">
        <v>230</v>
      </c>
      <c r="R311" s="563"/>
      <c r="S311" s="611">
        <f>S310*V311</f>
        <v>36</v>
      </c>
      <c r="T311" s="564"/>
      <c r="U311" s="572" t="s">
        <v>291</v>
      </c>
      <c r="V311" s="573">
        <v>200</v>
      </c>
      <c r="W311" s="563"/>
      <c r="X311" s="581"/>
      <c r="Y311" s="581"/>
      <c r="Z311" s="568"/>
      <c r="AA311" s="582"/>
      <c r="AB311" s="575"/>
      <c r="AC311" s="576"/>
    </row>
    <row r="312" spans="1:29" s="199" customFormat="1" ht="10.15" customHeight="1" x14ac:dyDescent="0.2">
      <c r="A312" s="469"/>
      <c r="B312" s="255"/>
      <c r="C312" s="255"/>
      <c r="D312" s="331"/>
      <c r="E312" s="331"/>
      <c r="F312" s="325"/>
      <c r="G312" s="321"/>
      <c r="H312" s="293"/>
      <c r="I312" s="331"/>
      <c r="J312" s="331"/>
      <c r="K312" s="325"/>
      <c r="L312" s="321"/>
      <c r="M312" s="293"/>
      <c r="N312" s="331"/>
      <c r="O312" s="331"/>
      <c r="P312" s="325"/>
      <c r="Q312" s="321"/>
      <c r="R312" s="293"/>
      <c r="S312" s="331"/>
      <c r="T312" s="331"/>
      <c r="U312" s="325"/>
      <c r="V312" s="321"/>
      <c r="W312" s="293"/>
      <c r="X312" s="331"/>
      <c r="Y312" s="331"/>
      <c r="Z312" s="325"/>
      <c r="AA312" s="321"/>
      <c r="AB312" s="255"/>
      <c r="AC312" s="418"/>
    </row>
    <row r="313" spans="1:29" ht="12.75" customHeight="1" x14ac:dyDescent="0.2">
      <c r="A313" s="462"/>
      <c r="B313" s="1129" t="s">
        <v>182</v>
      </c>
      <c r="C313" s="278"/>
      <c r="D313" s="788"/>
      <c r="E313" s="789"/>
      <c r="F313" s="789"/>
      <c r="G313" s="790"/>
      <c r="H313" s="293"/>
      <c r="I313" s="803"/>
      <c r="J313" s="804"/>
      <c r="K313" s="804"/>
      <c r="L313" s="805"/>
      <c r="M313" s="293"/>
      <c r="N313" s="788"/>
      <c r="O313" s="789"/>
      <c r="P313" s="789"/>
      <c r="Q313" s="790"/>
      <c r="R313" s="293"/>
      <c r="S313" s="788"/>
      <c r="T313" s="789"/>
      <c r="U313" s="789"/>
      <c r="V313" s="790"/>
      <c r="W313" s="293"/>
      <c r="X313" s="788"/>
      <c r="Y313" s="789"/>
      <c r="Z313" s="789"/>
      <c r="AA313" s="790"/>
      <c r="AB313" s="254"/>
    </row>
    <row r="314" spans="1:29" ht="14.25" x14ac:dyDescent="0.2">
      <c r="A314" s="462"/>
      <c r="B314" s="1129"/>
      <c r="C314" s="278"/>
      <c r="D314" s="791"/>
      <c r="E314" s="792"/>
      <c r="F314" s="792"/>
      <c r="G314" s="793"/>
      <c r="H314" s="293"/>
      <c r="I314" s="854"/>
      <c r="J314" s="855"/>
      <c r="K314" s="855"/>
      <c r="L314" s="856"/>
      <c r="M314" s="293"/>
      <c r="N314" s="791"/>
      <c r="O314" s="792"/>
      <c r="P314" s="792"/>
      <c r="Q314" s="793"/>
      <c r="R314" s="293"/>
      <c r="S314" s="791"/>
      <c r="T314" s="792"/>
      <c r="U314" s="792"/>
      <c r="V314" s="793"/>
      <c r="W314" s="293"/>
      <c r="X314" s="791"/>
      <c r="Y314" s="792"/>
      <c r="Z314" s="792"/>
      <c r="AA314" s="793"/>
      <c r="AB314" s="254"/>
    </row>
    <row r="315" spans="1:29" ht="14.25" x14ac:dyDescent="0.2">
      <c r="A315" s="462"/>
      <c r="B315" s="1129"/>
      <c r="C315" s="278"/>
      <c r="D315" s="791"/>
      <c r="E315" s="792"/>
      <c r="F315" s="792"/>
      <c r="G315" s="793"/>
      <c r="H315" s="293"/>
      <c r="I315" s="854"/>
      <c r="J315" s="855"/>
      <c r="K315" s="855"/>
      <c r="L315" s="856"/>
      <c r="M315" s="293"/>
      <c r="N315" s="791"/>
      <c r="O315" s="792"/>
      <c r="P315" s="792"/>
      <c r="Q315" s="793"/>
      <c r="R315" s="293"/>
      <c r="S315" s="791"/>
      <c r="T315" s="792"/>
      <c r="U315" s="792"/>
      <c r="V315" s="793"/>
      <c r="W315" s="293"/>
      <c r="X315" s="791"/>
      <c r="Y315" s="792"/>
      <c r="Z315" s="792"/>
      <c r="AA315" s="793"/>
      <c r="AB315" s="254"/>
    </row>
    <row r="316" spans="1:29" ht="14.25" x14ac:dyDescent="0.2">
      <c r="A316" s="462"/>
      <c r="B316" s="1129"/>
      <c r="C316" s="278"/>
      <c r="D316" s="316"/>
      <c r="E316" s="317"/>
      <c r="F316" s="317"/>
      <c r="G316" s="318"/>
      <c r="H316" s="293"/>
      <c r="I316" s="854"/>
      <c r="J316" s="855"/>
      <c r="K316" s="855"/>
      <c r="L316" s="856"/>
      <c r="M316" s="293"/>
      <c r="N316" s="316"/>
      <c r="O316" s="317"/>
      <c r="P316" s="317"/>
      <c r="Q316" s="318"/>
      <c r="R316" s="293"/>
      <c r="S316" s="670"/>
      <c r="T316" s="671"/>
      <c r="U316" s="671"/>
      <c r="V316" s="672"/>
      <c r="W316" s="293"/>
      <c r="X316" s="670"/>
      <c r="Y316" s="671"/>
      <c r="Z316" s="671"/>
      <c r="AA316" s="672"/>
      <c r="AB316" s="254"/>
    </row>
    <row r="317" spans="1:29" ht="14.25" x14ac:dyDescent="0.2">
      <c r="A317" s="462"/>
      <c r="B317" s="1129"/>
      <c r="C317" s="278"/>
      <c r="D317" s="791"/>
      <c r="E317" s="792"/>
      <c r="F317" s="792"/>
      <c r="G317" s="793"/>
      <c r="H317" s="293"/>
      <c r="I317" s="854"/>
      <c r="J317" s="855"/>
      <c r="K317" s="855"/>
      <c r="L317" s="856"/>
      <c r="M317" s="293"/>
      <c r="N317" s="791"/>
      <c r="O317" s="792"/>
      <c r="P317" s="792"/>
      <c r="Q317" s="793"/>
      <c r="R317" s="293"/>
      <c r="S317" s="791"/>
      <c r="T317" s="792"/>
      <c r="U317" s="792"/>
      <c r="V317" s="793"/>
      <c r="W317" s="293"/>
      <c r="X317" s="791"/>
      <c r="Y317" s="792"/>
      <c r="Z317" s="792"/>
      <c r="AA317" s="793"/>
      <c r="AB317" s="254"/>
    </row>
    <row r="318" spans="1:29" ht="14.25" x14ac:dyDescent="0.2">
      <c r="A318" s="462"/>
      <c r="B318" s="1129"/>
      <c r="C318" s="278"/>
      <c r="D318" s="794"/>
      <c r="E318" s="795"/>
      <c r="F318" s="795"/>
      <c r="G318" s="796"/>
      <c r="H318" s="293"/>
      <c r="I318" s="972"/>
      <c r="J318" s="973"/>
      <c r="K318" s="973"/>
      <c r="L318" s="974"/>
      <c r="M318" s="293"/>
      <c r="N318" s="794"/>
      <c r="O318" s="795"/>
      <c r="P318" s="795"/>
      <c r="Q318" s="796"/>
      <c r="R318" s="293"/>
      <c r="S318" s="794"/>
      <c r="T318" s="795"/>
      <c r="U318" s="795"/>
      <c r="V318" s="796"/>
      <c r="W318" s="293"/>
      <c r="X318" s="794"/>
      <c r="Y318" s="795"/>
      <c r="Z318" s="795"/>
      <c r="AA318" s="796"/>
      <c r="AB318" s="254"/>
    </row>
    <row r="319" spans="1:29" ht="15" x14ac:dyDescent="0.25">
      <c r="A319" s="462"/>
      <c r="B319" s="1129"/>
      <c r="C319" s="278"/>
      <c r="D319" s="867" t="s">
        <v>225</v>
      </c>
      <c r="E319" s="868"/>
      <c r="F319" s="868"/>
      <c r="G319" s="869"/>
      <c r="H319" s="293"/>
      <c r="I319" s="867" t="s">
        <v>233</v>
      </c>
      <c r="J319" s="868"/>
      <c r="K319" s="868"/>
      <c r="L319" s="869"/>
      <c r="M319" s="293"/>
      <c r="N319" s="867" t="s">
        <v>226</v>
      </c>
      <c r="O319" s="868"/>
      <c r="P319" s="868"/>
      <c r="Q319" s="869"/>
      <c r="R319" s="293"/>
      <c r="S319" s="867" t="s">
        <v>850</v>
      </c>
      <c r="T319" s="868"/>
      <c r="U319" s="868"/>
      <c r="V319" s="869"/>
      <c r="W319" s="293"/>
      <c r="X319" s="867" t="s">
        <v>851</v>
      </c>
      <c r="Y319" s="868"/>
      <c r="Z319" s="868"/>
      <c r="AA319" s="869"/>
      <c r="AB319" s="254"/>
    </row>
    <row r="320" spans="1:29" s="201" customFormat="1" ht="27" customHeight="1" x14ac:dyDescent="0.25">
      <c r="A320" s="474"/>
      <c r="B320" s="1129"/>
      <c r="C320" s="278"/>
      <c r="D320" s="766" t="s">
        <v>306</v>
      </c>
      <c r="E320" s="767"/>
      <c r="F320" s="767"/>
      <c r="G320" s="783"/>
      <c r="H320" s="308"/>
      <c r="I320" s="766" t="s">
        <v>734</v>
      </c>
      <c r="J320" s="767"/>
      <c r="K320" s="767"/>
      <c r="L320" s="783"/>
      <c r="M320" s="308"/>
      <c r="N320" s="766" t="s">
        <v>733</v>
      </c>
      <c r="O320" s="767"/>
      <c r="P320" s="767"/>
      <c r="Q320" s="783"/>
      <c r="R320" s="308"/>
      <c r="S320" s="766" t="s">
        <v>853</v>
      </c>
      <c r="T320" s="767"/>
      <c r="U320" s="767"/>
      <c r="V320" s="783"/>
      <c r="W320" s="308"/>
      <c r="X320" s="766" t="s">
        <v>854</v>
      </c>
      <c r="Y320" s="767"/>
      <c r="Z320" s="767"/>
      <c r="AA320" s="783"/>
      <c r="AB320" s="259"/>
      <c r="AC320" s="423"/>
    </row>
    <row r="321" spans="1:29" ht="16.149999999999999" customHeight="1" x14ac:dyDescent="0.25">
      <c r="A321" s="462"/>
      <c r="B321" s="1129"/>
      <c r="C321" s="278"/>
      <c r="D321" s="996">
        <v>1.75</v>
      </c>
      <c r="E321" s="997"/>
      <c r="F321" s="949">
        <v>0</v>
      </c>
      <c r="G321" s="950"/>
      <c r="H321" s="293"/>
      <c r="I321" s="1002">
        <v>0.55000000000000004</v>
      </c>
      <c r="J321" s="1003"/>
      <c r="K321" s="949">
        <v>0</v>
      </c>
      <c r="L321" s="950"/>
      <c r="M321" s="293"/>
      <c r="N321" s="815">
        <v>1.75</v>
      </c>
      <c r="O321" s="816"/>
      <c r="P321" s="949">
        <v>0</v>
      </c>
      <c r="Q321" s="950"/>
      <c r="R321" s="293"/>
      <c r="S321" s="815">
        <v>1.9</v>
      </c>
      <c r="T321" s="816"/>
      <c r="U321" s="949">
        <v>0</v>
      </c>
      <c r="V321" s="950"/>
      <c r="W321" s="293"/>
      <c r="X321" s="815">
        <v>2.25</v>
      </c>
      <c r="Y321" s="816"/>
      <c r="Z321" s="949">
        <v>0</v>
      </c>
      <c r="AA321" s="950"/>
      <c r="AB321" s="254"/>
    </row>
    <row r="322" spans="1:29" s="577" customFormat="1" ht="16.149999999999999" customHeight="1" x14ac:dyDescent="0.2">
      <c r="A322" s="571"/>
      <c r="B322" s="1129"/>
      <c r="C322" s="278"/>
      <c r="D322" s="611">
        <f>D321*G322</f>
        <v>105</v>
      </c>
      <c r="E322" s="564"/>
      <c r="F322" s="572" t="s">
        <v>291</v>
      </c>
      <c r="G322" s="573">
        <v>60</v>
      </c>
      <c r="H322" s="563"/>
      <c r="I322" s="611">
        <f>I321*L322</f>
        <v>55.000000000000007</v>
      </c>
      <c r="J322" s="564"/>
      <c r="K322" s="572" t="s">
        <v>291</v>
      </c>
      <c r="L322" s="573">
        <v>100</v>
      </c>
      <c r="M322" s="563"/>
      <c r="N322" s="611">
        <f>N321*Q322</f>
        <v>105</v>
      </c>
      <c r="O322" s="564"/>
      <c r="P322" s="572" t="s">
        <v>291</v>
      </c>
      <c r="Q322" s="573">
        <v>60</v>
      </c>
      <c r="R322" s="563"/>
      <c r="S322" s="611">
        <f>S321*V322</f>
        <v>313.5</v>
      </c>
      <c r="T322" s="564"/>
      <c r="U322" s="572" t="s">
        <v>291</v>
      </c>
      <c r="V322" s="580">
        <v>165</v>
      </c>
      <c r="W322" s="563"/>
      <c r="X322" s="611">
        <f>X321*AA322</f>
        <v>202.5</v>
      </c>
      <c r="Y322" s="564"/>
      <c r="Z322" s="572" t="s">
        <v>291</v>
      </c>
      <c r="AA322" s="580">
        <v>90</v>
      </c>
      <c r="AB322" s="575"/>
      <c r="AC322" s="576"/>
    </row>
    <row r="323" spans="1:29" ht="10.15" customHeight="1" x14ac:dyDescent="0.2">
      <c r="A323" s="462"/>
      <c r="B323" s="254"/>
      <c r="C323" s="254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54"/>
    </row>
    <row r="324" spans="1:29" ht="12.75" customHeight="1" x14ac:dyDescent="0.2">
      <c r="A324" s="462"/>
      <c r="B324" s="1129" t="s">
        <v>168</v>
      </c>
      <c r="C324" s="288"/>
      <c r="D324" s="788"/>
      <c r="E324" s="789"/>
      <c r="F324" s="789"/>
      <c r="G324" s="790"/>
      <c r="H324" s="293"/>
      <c r="I324" s="788"/>
      <c r="J324" s="789"/>
      <c r="K324" s="789"/>
      <c r="L324" s="790"/>
      <c r="M324" s="293"/>
      <c r="N324" s="788"/>
      <c r="O324" s="789"/>
      <c r="P324" s="789"/>
      <c r="Q324" s="790"/>
      <c r="R324" s="293"/>
      <c r="S324" s="788"/>
      <c r="T324" s="789"/>
      <c r="U324" s="789"/>
      <c r="V324" s="790"/>
      <c r="W324" s="293"/>
      <c r="X324" s="814"/>
      <c r="Y324" s="814"/>
      <c r="Z324" s="814"/>
      <c r="AA324" s="814"/>
      <c r="AB324" s="254"/>
    </row>
    <row r="325" spans="1:29" ht="14.25" x14ac:dyDescent="0.2">
      <c r="A325" s="462"/>
      <c r="B325" s="1129"/>
      <c r="C325" s="288"/>
      <c r="D325" s="791"/>
      <c r="E325" s="792"/>
      <c r="F325" s="792"/>
      <c r="G325" s="793"/>
      <c r="H325" s="293"/>
      <c r="I325" s="791"/>
      <c r="J325" s="792"/>
      <c r="K325" s="792"/>
      <c r="L325" s="793"/>
      <c r="M325" s="293"/>
      <c r="N325" s="791"/>
      <c r="O325" s="792"/>
      <c r="P325" s="792"/>
      <c r="Q325" s="793"/>
      <c r="R325" s="293"/>
      <c r="S325" s="791"/>
      <c r="T325" s="792"/>
      <c r="U325" s="792"/>
      <c r="V325" s="793"/>
      <c r="W325" s="293"/>
      <c r="X325" s="814"/>
      <c r="Y325" s="814"/>
      <c r="Z325" s="814"/>
      <c r="AA325" s="814"/>
      <c r="AB325" s="254"/>
    </row>
    <row r="326" spans="1:29" ht="14.25" x14ac:dyDescent="0.2">
      <c r="A326" s="462"/>
      <c r="B326" s="1129"/>
      <c r="C326" s="28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670"/>
      <c r="T326" s="671"/>
      <c r="U326" s="671"/>
      <c r="V326" s="672"/>
      <c r="W326" s="293"/>
      <c r="X326" s="322"/>
      <c r="Y326" s="322"/>
      <c r="Z326" s="322"/>
      <c r="AA326" s="322"/>
      <c r="AB326" s="254"/>
    </row>
    <row r="327" spans="1:29" ht="14.25" x14ac:dyDescent="0.2">
      <c r="A327" s="462"/>
      <c r="B327" s="1129"/>
      <c r="C327" s="288"/>
      <c r="D327" s="791"/>
      <c r="E327" s="792"/>
      <c r="F327" s="792"/>
      <c r="G327" s="793"/>
      <c r="H327" s="293"/>
      <c r="I327" s="791"/>
      <c r="J327" s="792"/>
      <c r="K327" s="792"/>
      <c r="L327" s="793"/>
      <c r="M327" s="293"/>
      <c r="N327" s="791"/>
      <c r="O327" s="792"/>
      <c r="P327" s="792"/>
      <c r="Q327" s="793"/>
      <c r="R327" s="293"/>
      <c r="S327" s="791"/>
      <c r="T327" s="792"/>
      <c r="U327" s="792"/>
      <c r="V327" s="793"/>
      <c r="W327" s="293"/>
      <c r="X327" s="814"/>
      <c r="Y327" s="814"/>
      <c r="Z327" s="814"/>
      <c r="AA327" s="814"/>
      <c r="AB327" s="254"/>
    </row>
    <row r="328" spans="1:29" ht="14.25" x14ac:dyDescent="0.2">
      <c r="A328" s="462"/>
      <c r="B328" s="1129"/>
      <c r="C328" s="288"/>
      <c r="D328" s="791"/>
      <c r="E328" s="792"/>
      <c r="F328" s="792"/>
      <c r="G328" s="793"/>
      <c r="H328" s="293"/>
      <c r="I328" s="791"/>
      <c r="J328" s="792"/>
      <c r="K328" s="792"/>
      <c r="L328" s="793"/>
      <c r="M328" s="293"/>
      <c r="N328" s="791"/>
      <c r="O328" s="792"/>
      <c r="P328" s="792"/>
      <c r="Q328" s="793"/>
      <c r="R328" s="293"/>
      <c r="S328" s="791"/>
      <c r="T328" s="792"/>
      <c r="U328" s="792"/>
      <c r="V328" s="793"/>
      <c r="W328" s="293"/>
      <c r="X328" s="814"/>
      <c r="Y328" s="814"/>
      <c r="Z328" s="814"/>
      <c r="AA328" s="814"/>
      <c r="AB328" s="254"/>
    </row>
    <row r="329" spans="1:29" ht="14.25" x14ac:dyDescent="0.2">
      <c r="A329" s="462"/>
      <c r="B329" s="1129"/>
      <c r="C329" s="288"/>
      <c r="D329" s="794"/>
      <c r="E329" s="795"/>
      <c r="F329" s="795"/>
      <c r="G329" s="796"/>
      <c r="H329" s="293"/>
      <c r="I329" s="794"/>
      <c r="J329" s="795"/>
      <c r="K329" s="795"/>
      <c r="L329" s="796"/>
      <c r="M329" s="293"/>
      <c r="N329" s="794"/>
      <c r="O329" s="795"/>
      <c r="P329" s="795"/>
      <c r="Q329" s="796"/>
      <c r="R329" s="293"/>
      <c r="S329" s="794"/>
      <c r="T329" s="795"/>
      <c r="U329" s="795"/>
      <c r="V329" s="796"/>
      <c r="W329" s="293"/>
      <c r="X329" s="814"/>
      <c r="Y329" s="814"/>
      <c r="Z329" s="814"/>
      <c r="AA329" s="814"/>
      <c r="AB329" s="254"/>
    </row>
    <row r="330" spans="1:29" ht="15" x14ac:dyDescent="0.25">
      <c r="A330" s="462"/>
      <c r="B330" s="1129"/>
      <c r="C330" s="288"/>
      <c r="D330" s="867" t="s">
        <v>227</v>
      </c>
      <c r="E330" s="868"/>
      <c r="F330" s="868"/>
      <c r="G330" s="869"/>
      <c r="H330" s="293"/>
      <c r="I330" s="867" t="s">
        <v>219</v>
      </c>
      <c r="J330" s="868"/>
      <c r="K330" s="868"/>
      <c r="L330" s="869"/>
      <c r="M330" s="293"/>
      <c r="N330" s="867" t="s">
        <v>190</v>
      </c>
      <c r="O330" s="868"/>
      <c r="P330" s="868"/>
      <c r="Q330" s="869"/>
      <c r="R330" s="293"/>
      <c r="S330" s="867" t="s">
        <v>852</v>
      </c>
      <c r="T330" s="868"/>
      <c r="U330" s="868"/>
      <c r="V330" s="869"/>
      <c r="W330" s="293"/>
      <c r="X330" s="959"/>
      <c r="Y330" s="959"/>
      <c r="Z330" s="959"/>
      <c r="AA330" s="959"/>
      <c r="AB330" s="254"/>
    </row>
    <row r="331" spans="1:29" s="201" customFormat="1" ht="27" customHeight="1" x14ac:dyDescent="0.25">
      <c r="A331" s="474"/>
      <c r="B331" s="1129"/>
      <c r="C331" s="288"/>
      <c r="D331" s="766" t="s">
        <v>598</v>
      </c>
      <c r="E331" s="767"/>
      <c r="F331" s="767"/>
      <c r="G331" s="783"/>
      <c r="H331" s="308"/>
      <c r="I331" s="766" t="s">
        <v>11</v>
      </c>
      <c r="J331" s="767"/>
      <c r="K331" s="767"/>
      <c r="L331" s="783"/>
      <c r="M331" s="308"/>
      <c r="N331" s="766" t="s">
        <v>0</v>
      </c>
      <c r="O331" s="767"/>
      <c r="P331" s="767"/>
      <c r="Q331" s="783"/>
      <c r="R331" s="308"/>
      <c r="S331" s="766" t="s">
        <v>855</v>
      </c>
      <c r="T331" s="767"/>
      <c r="U331" s="767"/>
      <c r="V331" s="783"/>
      <c r="W331" s="308"/>
      <c r="X331" s="866"/>
      <c r="Y331" s="866"/>
      <c r="Z331" s="866"/>
      <c r="AA331" s="866"/>
      <c r="AB331" s="259"/>
      <c r="AC331" s="423"/>
    </row>
    <row r="332" spans="1:29" ht="16.149999999999999" customHeight="1" x14ac:dyDescent="0.25">
      <c r="A332" s="462"/>
      <c r="B332" s="1129"/>
      <c r="C332" s="288"/>
      <c r="D332" s="815">
        <v>0.9</v>
      </c>
      <c r="E332" s="816"/>
      <c r="F332" s="949">
        <v>0</v>
      </c>
      <c r="G332" s="950"/>
      <c r="H332" s="293"/>
      <c r="I332" s="815">
        <v>5</v>
      </c>
      <c r="J332" s="816"/>
      <c r="K332" s="949">
        <v>0</v>
      </c>
      <c r="L332" s="950"/>
      <c r="M332" s="293"/>
      <c r="N332" s="815">
        <v>2.25</v>
      </c>
      <c r="O332" s="816"/>
      <c r="P332" s="949">
        <v>0</v>
      </c>
      <c r="Q332" s="950"/>
      <c r="R332" s="293"/>
      <c r="S332" s="815">
        <v>2.4</v>
      </c>
      <c r="T332" s="816"/>
      <c r="U332" s="949">
        <v>0</v>
      </c>
      <c r="V332" s="950"/>
      <c r="W332" s="293"/>
      <c r="X332" s="956"/>
      <c r="Y332" s="956"/>
      <c r="Z332" s="951"/>
      <c r="AA332" s="951"/>
      <c r="AB332" s="254"/>
    </row>
    <row r="333" spans="1:29" s="577" customFormat="1" ht="16.149999999999999" customHeight="1" x14ac:dyDescent="0.2">
      <c r="A333" s="571"/>
      <c r="B333" s="1129"/>
      <c r="C333" s="288"/>
      <c r="D333" s="611">
        <f>D332*G333</f>
        <v>180</v>
      </c>
      <c r="E333" s="564"/>
      <c r="F333" s="572" t="s">
        <v>291</v>
      </c>
      <c r="G333" s="573">
        <v>200</v>
      </c>
      <c r="H333" s="563"/>
      <c r="I333" s="611">
        <f>I332*L333</f>
        <v>500</v>
      </c>
      <c r="J333" s="564"/>
      <c r="K333" s="572" t="s">
        <v>291</v>
      </c>
      <c r="L333" s="573">
        <v>100</v>
      </c>
      <c r="M333" s="563"/>
      <c r="N333" s="611">
        <f>N332*Q333</f>
        <v>236.25</v>
      </c>
      <c r="O333" s="564"/>
      <c r="P333" s="572" t="s">
        <v>291</v>
      </c>
      <c r="Q333" s="573">
        <v>105</v>
      </c>
      <c r="R333" s="563"/>
      <c r="S333" s="611">
        <f>S332*V333</f>
        <v>180</v>
      </c>
      <c r="T333" s="564"/>
      <c r="U333" s="572" t="s">
        <v>291</v>
      </c>
      <c r="V333" s="580">
        <v>75</v>
      </c>
      <c r="W333" s="563"/>
      <c r="X333" s="581"/>
      <c r="Y333" s="581"/>
      <c r="Z333" s="568"/>
      <c r="AA333" s="582"/>
      <c r="AB333" s="575"/>
      <c r="AC333" s="576"/>
    </row>
    <row r="334" spans="1:29" s="199" customFormat="1" ht="10.15" customHeight="1" x14ac:dyDescent="0.2">
      <c r="A334" s="469"/>
      <c r="B334" s="255"/>
      <c r="C334" s="255"/>
      <c r="D334" s="331"/>
      <c r="E334" s="331"/>
      <c r="F334" s="325"/>
      <c r="G334" s="321"/>
      <c r="H334" s="293"/>
      <c r="I334" s="331"/>
      <c r="J334" s="331"/>
      <c r="K334" s="325"/>
      <c r="L334" s="321"/>
      <c r="M334" s="293"/>
      <c r="N334" s="331"/>
      <c r="O334" s="331"/>
      <c r="P334" s="325"/>
      <c r="Q334" s="321"/>
      <c r="R334" s="293"/>
      <c r="S334" s="331"/>
      <c r="T334" s="331"/>
      <c r="U334" s="325"/>
      <c r="V334" s="321"/>
      <c r="W334" s="293"/>
      <c r="X334" s="331"/>
      <c r="Y334" s="331"/>
      <c r="Z334" s="325"/>
      <c r="AA334" s="321"/>
      <c r="AB334" s="255"/>
      <c r="AC334" s="418"/>
    </row>
    <row r="335" spans="1:29" ht="14.25" x14ac:dyDescent="0.2">
      <c r="A335" s="462"/>
      <c r="B335" s="1129" t="s">
        <v>468</v>
      </c>
      <c r="C335" s="278"/>
      <c r="D335" s="788"/>
      <c r="E335" s="789"/>
      <c r="F335" s="789"/>
      <c r="G335" s="790"/>
      <c r="H335" s="293"/>
      <c r="I335" s="788"/>
      <c r="J335" s="789"/>
      <c r="K335" s="789"/>
      <c r="L335" s="790"/>
      <c r="M335" s="293"/>
      <c r="N335" s="803"/>
      <c r="O335" s="804"/>
      <c r="P335" s="804"/>
      <c r="Q335" s="805"/>
      <c r="R335" s="293"/>
      <c r="S335" s="788"/>
      <c r="T335" s="789"/>
      <c r="U335" s="789"/>
      <c r="V335" s="790"/>
      <c r="W335" s="293"/>
      <c r="X335" s="775"/>
      <c r="Y335" s="775"/>
      <c r="Z335" s="775"/>
      <c r="AA335" s="775"/>
      <c r="AB335" s="254"/>
    </row>
    <row r="336" spans="1:29" ht="14.25" x14ac:dyDescent="0.2">
      <c r="A336" s="462"/>
      <c r="B336" s="1129"/>
      <c r="C336" s="278"/>
      <c r="D336" s="791"/>
      <c r="E336" s="792"/>
      <c r="F336" s="792"/>
      <c r="G336" s="793"/>
      <c r="H336" s="293"/>
      <c r="I336" s="791"/>
      <c r="J336" s="792"/>
      <c r="K336" s="792"/>
      <c r="L336" s="793"/>
      <c r="M336" s="293"/>
      <c r="N336" s="791"/>
      <c r="O336" s="792"/>
      <c r="P336" s="792"/>
      <c r="Q336" s="793"/>
      <c r="R336" s="293"/>
      <c r="S336" s="791"/>
      <c r="T336" s="792"/>
      <c r="U336" s="792"/>
      <c r="V336" s="793"/>
      <c r="W336" s="293"/>
      <c r="X336" s="855"/>
      <c r="Y336" s="962"/>
      <c r="Z336" s="962"/>
      <c r="AA336" s="855"/>
      <c r="AB336" s="254"/>
    </row>
    <row r="337" spans="1:29" ht="14.25" x14ac:dyDescent="0.2">
      <c r="A337" s="462"/>
      <c r="B337" s="1129"/>
      <c r="C337" s="278"/>
      <c r="D337" s="316"/>
      <c r="E337" s="317"/>
      <c r="F337" s="317"/>
      <c r="G337" s="318"/>
      <c r="H337" s="293"/>
      <c r="I337" s="316"/>
      <c r="J337" s="317"/>
      <c r="K337" s="317"/>
      <c r="L337" s="318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855"/>
      <c r="Y337" s="962"/>
      <c r="Z337" s="962"/>
      <c r="AA337" s="855"/>
      <c r="AB337" s="254"/>
    </row>
    <row r="338" spans="1:29" ht="14.25" x14ac:dyDescent="0.2">
      <c r="A338" s="462"/>
      <c r="B338" s="1129"/>
      <c r="C338" s="278"/>
      <c r="D338" s="791"/>
      <c r="E338" s="792"/>
      <c r="F338" s="792"/>
      <c r="G338" s="793"/>
      <c r="H338" s="293"/>
      <c r="I338" s="791"/>
      <c r="J338" s="792"/>
      <c r="K338" s="792"/>
      <c r="L338" s="793"/>
      <c r="M338" s="293"/>
      <c r="N338" s="791"/>
      <c r="O338" s="792"/>
      <c r="P338" s="792"/>
      <c r="Q338" s="793"/>
      <c r="R338" s="293"/>
      <c r="S338" s="791"/>
      <c r="T338" s="792"/>
      <c r="U338" s="792"/>
      <c r="V338" s="793"/>
      <c r="W338" s="293"/>
      <c r="X338" s="855"/>
      <c r="Y338" s="962"/>
      <c r="Z338" s="962"/>
      <c r="AA338" s="855"/>
      <c r="AB338" s="254"/>
    </row>
    <row r="339" spans="1:29" ht="14.25" x14ac:dyDescent="0.2">
      <c r="A339" s="462"/>
      <c r="B339" s="1129"/>
      <c r="C339" s="278"/>
      <c r="D339" s="791"/>
      <c r="E339" s="792"/>
      <c r="F339" s="792"/>
      <c r="G339" s="793"/>
      <c r="H339" s="293"/>
      <c r="I339" s="791"/>
      <c r="J339" s="792"/>
      <c r="K339" s="792"/>
      <c r="L339" s="793"/>
      <c r="M339" s="293"/>
      <c r="N339" s="791"/>
      <c r="O339" s="792"/>
      <c r="P339" s="792"/>
      <c r="Q339" s="793"/>
      <c r="R339" s="293"/>
      <c r="S339" s="791"/>
      <c r="T339" s="792"/>
      <c r="U339" s="792"/>
      <c r="V339" s="793"/>
      <c r="W339" s="293"/>
      <c r="X339" s="855"/>
      <c r="Y339" s="962"/>
      <c r="Z339" s="962"/>
      <c r="AA339" s="855"/>
      <c r="AB339" s="254"/>
    </row>
    <row r="340" spans="1:29" ht="14.25" x14ac:dyDescent="0.2">
      <c r="A340" s="462"/>
      <c r="B340" s="1129"/>
      <c r="C340" s="278"/>
      <c r="D340" s="794"/>
      <c r="E340" s="795"/>
      <c r="F340" s="795"/>
      <c r="G340" s="796"/>
      <c r="H340" s="293"/>
      <c r="I340" s="794"/>
      <c r="J340" s="795"/>
      <c r="K340" s="795"/>
      <c r="L340" s="796"/>
      <c r="M340" s="293"/>
      <c r="N340" s="794"/>
      <c r="O340" s="795"/>
      <c r="P340" s="795"/>
      <c r="Q340" s="796"/>
      <c r="R340" s="293"/>
      <c r="S340" s="794"/>
      <c r="T340" s="795"/>
      <c r="U340" s="795"/>
      <c r="V340" s="796"/>
      <c r="W340" s="293"/>
      <c r="X340" s="855"/>
      <c r="Y340" s="855"/>
      <c r="Z340" s="855"/>
      <c r="AA340" s="855"/>
      <c r="AB340" s="254"/>
    </row>
    <row r="341" spans="1:29" ht="15" x14ac:dyDescent="0.25">
      <c r="A341" s="462"/>
      <c r="B341" s="1129"/>
      <c r="C341" s="278"/>
      <c r="D341" s="867" t="s">
        <v>417</v>
      </c>
      <c r="E341" s="868"/>
      <c r="F341" s="868"/>
      <c r="G341" s="869"/>
      <c r="H341" s="293"/>
      <c r="I341" s="867" t="s">
        <v>191</v>
      </c>
      <c r="J341" s="868"/>
      <c r="K341" s="868"/>
      <c r="L341" s="869"/>
      <c r="M341" s="293"/>
      <c r="N341" s="800" t="s">
        <v>378</v>
      </c>
      <c r="O341" s="801"/>
      <c r="P341" s="801"/>
      <c r="Q341" s="802"/>
      <c r="R341" s="293"/>
      <c r="S341" s="867" t="s">
        <v>228</v>
      </c>
      <c r="T341" s="868"/>
      <c r="U341" s="868"/>
      <c r="V341" s="869"/>
      <c r="W341" s="293"/>
      <c r="X341" s="867" t="s">
        <v>522</v>
      </c>
      <c r="Y341" s="868"/>
      <c r="Z341" s="868"/>
      <c r="AA341" s="869"/>
      <c r="AB341" s="254"/>
    </row>
    <row r="342" spans="1:29" s="201" customFormat="1" ht="27" customHeight="1" thickBot="1" x14ac:dyDescent="0.3">
      <c r="A342" s="474"/>
      <c r="B342" s="1129"/>
      <c r="C342" s="278"/>
      <c r="D342" s="766" t="s">
        <v>726</v>
      </c>
      <c r="E342" s="767"/>
      <c r="F342" s="767"/>
      <c r="G342" s="783"/>
      <c r="H342" s="308"/>
      <c r="I342" s="766" t="s">
        <v>600</v>
      </c>
      <c r="J342" s="767"/>
      <c r="K342" s="767"/>
      <c r="L342" s="783"/>
      <c r="M342" s="308"/>
      <c r="N342" s="766" t="s">
        <v>602</v>
      </c>
      <c r="O342" s="767"/>
      <c r="P342" s="767"/>
      <c r="Q342" s="783"/>
      <c r="R342" s="308"/>
      <c r="S342" s="766" t="s">
        <v>601</v>
      </c>
      <c r="T342" s="767"/>
      <c r="U342" s="767"/>
      <c r="V342" s="783"/>
      <c r="W342" s="308"/>
      <c r="X342" s="998" t="s">
        <v>603</v>
      </c>
      <c r="Y342" s="875"/>
      <c r="Z342" s="875"/>
      <c r="AA342" s="876"/>
      <c r="AB342" s="259"/>
      <c r="AC342" s="423"/>
    </row>
    <row r="343" spans="1:29" ht="16.149999999999999" customHeight="1" thickBot="1" x14ac:dyDescent="0.3">
      <c r="A343" s="462"/>
      <c r="B343" s="1129"/>
      <c r="C343" s="278"/>
      <c r="D343" s="815">
        <v>2.5</v>
      </c>
      <c r="E343" s="816"/>
      <c r="F343" s="949">
        <v>0</v>
      </c>
      <c r="G343" s="950"/>
      <c r="H343" s="293"/>
      <c r="I343" s="815">
        <v>4.45</v>
      </c>
      <c r="J343" s="816"/>
      <c r="K343" s="949">
        <v>0</v>
      </c>
      <c r="L343" s="950"/>
      <c r="M343" s="293"/>
      <c r="N343" s="807">
        <v>1.28</v>
      </c>
      <c r="O343" s="1155"/>
      <c r="P343" s="989">
        <v>2</v>
      </c>
      <c r="Q343" s="995"/>
      <c r="R343" s="293"/>
      <c r="S343" s="870">
        <v>1.3</v>
      </c>
      <c r="T343" s="871"/>
      <c r="U343" s="949">
        <v>0</v>
      </c>
      <c r="V343" s="950"/>
      <c r="W343" s="293"/>
      <c r="X343" s="1004">
        <v>3.5</v>
      </c>
      <c r="Y343" s="1005"/>
      <c r="Z343" s="877">
        <v>0</v>
      </c>
      <c r="AA343" s="999"/>
      <c r="AB343" s="254"/>
    </row>
    <row r="344" spans="1:29" s="577" customFormat="1" ht="16.149999999999999" customHeight="1" x14ac:dyDescent="0.2">
      <c r="A344" s="571"/>
      <c r="B344" s="1129"/>
      <c r="C344" s="278"/>
      <c r="D344" s="611">
        <f>D343*G344</f>
        <v>50</v>
      </c>
      <c r="E344" s="564"/>
      <c r="F344" s="572" t="s">
        <v>291</v>
      </c>
      <c r="G344" s="573">
        <v>20</v>
      </c>
      <c r="H344" s="563"/>
      <c r="I344" s="611">
        <f>I343*L344</f>
        <v>222.5</v>
      </c>
      <c r="J344" s="564"/>
      <c r="K344" s="572" t="s">
        <v>291</v>
      </c>
      <c r="L344" s="573">
        <v>50</v>
      </c>
      <c r="M344" s="563"/>
      <c r="N344" s="617">
        <f>N343*Q344</f>
        <v>57.6</v>
      </c>
      <c r="O344" s="564"/>
      <c r="P344" s="572" t="s">
        <v>291</v>
      </c>
      <c r="Q344" s="573">
        <v>45</v>
      </c>
      <c r="R344" s="563"/>
      <c r="S344" s="611">
        <f>S343*V344</f>
        <v>117</v>
      </c>
      <c r="T344" s="564"/>
      <c r="U344" s="579" t="s">
        <v>291</v>
      </c>
      <c r="V344" s="580">
        <v>90</v>
      </c>
      <c r="W344" s="563"/>
      <c r="X344" s="616">
        <f>X343*AA344</f>
        <v>350</v>
      </c>
      <c r="Y344" s="583"/>
      <c r="Z344" s="584" t="s">
        <v>291</v>
      </c>
      <c r="AA344" s="585">
        <v>100</v>
      </c>
      <c r="AB344" s="575"/>
      <c r="AC344" s="576"/>
    </row>
    <row r="345" spans="1:29" s="199" customFormat="1" ht="10.15" customHeight="1" x14ac:dyDescent="0.2">
      <c r="A345" s="469"/>
      <c r="B345" s="265"/>
      <c r="C345" s="265"/>
      <c r="D345" s="331"/>
      <c r="E345" s="331"/>
      <c r="F345" s="325"/>
      <c r="G345" s="321"/>
      <c r="H345" s="293"/>
      <c r="I345" s="636"/>
      <c r="J345" s="636"/>
      <c r="K345" s="325"/>
      <c r="L345" s="321"/>
      <c r="M345" s="293"/>
      <c r="N345" s="325"/>
      <c r="O345" s="325"/>
      <c r="P345" s="325"/>
      <c r="Q345" s="345"/>
      <c r="R345" s="293"/>
      <c r="S345" s="325"/>
      <c r="T345" s="325"/>
      <c r="U345" s="325"/>
      <c r="V345" s="345"/>
      <c r="W345" s="293"/>
      <c r="X345" s="331"/>
      <c r="Y345" s="331"/>
      <c r="Z345" s="325"/>
      <c r="AA345" s="321"/>
      <c r="AB345" s="255"/>
      <c r="AC345" s="418"/>
    </row>
    <row r="346" spans="1:29" ht="14.25" x14ac:dyDescent="0.2">
      <c r="A346" s="462"/>
      <c r="B346" s="1129" t="s">
        <v>166</v>
      </c>
      <c r="C346" s="278"/>
      <c r="D346" s="788"/>
      <c r="E346" s="789"/>
      <c r="F346" s="789"/>
      <c r="G346" s="790"/>
      <c r="H346" s="293"/>
      <c r="I346" s="788"/>
      <c r="J346" s="789"/>
      <c r="K346" s="789"/>
      <c r="L346" s="790"/>
      <c r="M346" s="293"/>
      <c r="N346" s="788"/>
      <c r="O346" s="789"/>
      <c r="P346" s="789"/>
      <c r="Q346" s="790"/>
      <c r="R346" s="293"/>
      <c r="S346" s="946"/>
      <c r="T346" s="947"/>
      <c r="U346" s="947"/>
      <c r="V346" s="948"/>
      <c r="W346" s="293"/>
      <c r="X346" s="946"/>
      <c r="Y346" s="947"/>
      <c r="Z346" s="947"/>
      <c r="AA346" s="948"/>
      <c r="AB346" s="254"/>
    </row>
    <row r="347" spans="1:29" ht="14.25" x14ac:dyDescent="0.2">
      <c r="A347" s="462"/>
      <c r="B347" s="1129"/>
      <c r="C347" s="278"/>
      <c r="D347" s="791"/>
      <c r="E347" s="792"/>
      <c r="F347" s="792"/>
      <c r="G347" s="793"/>
      <c r="H347" s="293"/>
      <c r="I347" s="791"/>
      <c r="J347" s="792"/>
      <c r="K347" s="792"/>
      <c r="L347" s="793"/>
      <c r="M347" s="293"/>
      <c r="N347" s="791"/>
      <c r="O347" s="792"/>
      <c r="P347" s="792"/>
      <c r="Q347" s="793"/>
      <c r="R347" s="293"/>
      <c r="S347" s="879"/>
      <c r="T347" s="880"/>
      <c r="U347" s="880"/>
      <c r="V347" s="881"/>
      <c r="W347" s="293"/>
      <c r="X347" s="879"/>
      <c r="Y347" s="880"/>
      <c r="Z347" s="880"/>
      <c r="AA347" s="881"/>
      <c r="AB347" s="254"/>
    </row>
    <row r="348" spans="1:29" ht="14.25" x14ac:dyDescent="0.2">
      <c r="A348" s="462"/>
      <c r="B348" s="1129"/>
      <c r="C348" s="278"/>
      <c r="D348" s="316"/>
      <c r="E348" s="317"/>
      <c r="F348" s="317"/>
      <c r="G348" s="318"/>
      <c r="H348" s="293"/>
      <c r="I348" s="628"/>
      <c r="J348" s="629"/>
      <c r="K348" s="629"/>
      <c r="L348" s="630"/>
      <c r="M348" s="293"/>
      <c r="N348" s="316"/>
      <c r="O348" s="317"/>
      <c r="P348" s="317"/>
      <c r="Q348" s="318"/>
      <c r="R348" s="293"/>
      <c r="S348" s="764"/>
      <c r="T348" s="763"/>
      <c r="U348" s="763"/>
      <c r="V348" s="765"/>
      <c r="W348" s="293"/>
      <c r="X348" s="764"/>
      <c r="Y348" s="763"/>
      <c r="Z348" s="763"/>
      <c r="AA348" s="765"/>
      <c r="AB348" s="254"/>
    </row>
    <row r="349" spans="1:29" ht="14.25" x14ac:dyDescent="0.2">
      <c r="A349" s="462"/>
      <c r="B349" s="1129"/>
      <c r="C349" s="278"/>
      <c r="D349" s="791"/>
      <c r="E349" s="792"/>
      <c r="F349" s="792"/>
      <c r="G349" s="793"/>
      <c r="H349" s="293"/>
      <c r="I349" s="791"/>
      <c r="J349" s="792"/>
      <c r="K349" s="792"/>
      <c r="L349" s="793"/>
      <c r="M349" s="293"/>
      <c r="N349" s="791"/>
      <c r="O349" s="792"/>
      <c r="P349" s="792"/>
      <c r="Q349" s="793"/>
      <c r="R349" s="293"/>
      <c r="S349" s="879"/>
      <c r="T349" s="880"/>
      <c r="U349" s="880"/>
      <c r="V349" s="881"/>
      <c r="W349" s="293"/>
      <c r="X349" s="879"/>
      <c r="Y349" s="880"/>
      <c r="Z349" s="880"/>
      <c r="AA349" s="881"/>
      <c r="AB349" s="254"/>
    </row>
    <row r="350" spans="1:29" ht="14.25" x14ac:dyDescent="0.2">
      <c r="A350" s="462"/>
      <c r="B350" s="1129"/>
      <c r="C350" s="278"/>
      <c r="D350" s="791"/>
      <c r="E350" s="792"/>
      <c r="F350" s="792"/>
      <c r="G350" s="793"/>
      <c r="H350" s="293"/>
      <c r="I350" s="791"/>
      <c r="J350" s="792"/>
      <c r="K350" s="792"/>
      <c r="L350" s="793"/>
      <c r="M350" s="293"/>
      <c r="N350" s="791"/>
      <c r="O350" s="792"/>
      <c r="P350" s="792"/>
      <c r="Q350" s="793"/>
      <c r="R350" s="293"/>
      <c r="S350" s="879"/>
      <c r="T350" s="880"/>
      <c r="U350" s="880"/>
      <c r="V350" s="881"/>
      <c r="W350" s="293"/>
      <c r="X350" s="879"/>
      <c r="Y350" s="880"/>
      <c r="Z350" s="880"/>
      <c r="AA350" s="881"/>
      <c r="AB350" s="254"/>
    </row>
    <row r="351" spans="1:29" ht="14.25" x14ac:dyDescent="0.2">
      <c r="A351" s="462"/>
      <c r="B351" s="1129"/>
      <c r="C351" s="278"/>
      <c r="D351" s="794"/>
      <c r="E351" s="795"/>
      <c r="F351" s="795"/>
      <c r="G351" s="796"/>
      <c r="H351" s="293"/>
      <c r="I351" s="794"/>
      <c r="J351" s="795"/>
      <c r="K351" s="795"/>
      <c r="L351" s="796"/>
      <c r="M351" s="293"/>
      <c r="N351" s="794"/>
      <c r="O351" s="795"/>
      <c r="P351" s="795"/>
      <c r="Q351" s="796"/>
      <c r="R351" s="293"/>
      <c r="S351" s="891"/>
      <c r="T351" s="892"/>
      <c r="U351" s="892"/>
      <c r="V351" s="893"/>
      <c r="W351" s="293"/>
      <c r="X351" s="891"/>
      <c r="Y351" s="892"/>
      <c r="Z351" s="892"/>
      <c r="AA351" s="893"/>
      <c r="AB351" s="254"/>
    </row>
    <row r="352" spans="1:29" ht="14.1" customHeight="1" x14ac:dyDescent="0.25">
      <c r="A352" s="462"/>
      <c r="B352" s="1129"/>
      <c r="C352" s="278"/>
      <c r="D352" s="867" t="s">
        <v>192</v>
      </c>
      <c r="E352" s="868"/>
      <c r="F352" s="868"/>
      <c r="G352" s="869"/>
      <c r="H352" s="293"/>
      <c r="I352" s="867" t="s">
        <v>185</v>
      </c>
      <c r="J352" s="868"/>
      <c r="K352" s="868"/>
      <c r="L352" s="869"/>
      <c r="M352" s="293"/>
      <c r="N352" s="867" t="s">
        <v>183</v>
      </c>
      <c r="O352" s="868"/>
      <c r="P352" s="868"/>
      <c r="Q352" s="869"/>
      <c r="R352" s="293"/>
      <c r="S352" s="867" t="s">
        <v>945</v>
      </c>
      <c r="T352" s="868"/>
      <c r="U352" s="868"/>
      <c r="V352" s="869"/>
      <c r="W352" s="293"/>
      <c r="X352" s="867" t="s">
        <v>946</v>
      </c>
      <c r="Y352" s="868"/>
      <c r="Z352" s="868"/>
      <c r="AA352" s="869"/>
      <c r="AB352" s="254"/>
    </row>
    <row r="353" spans="1:29" s="201" customFormat="1" ht="27" customHeight="1" x14ac:dyDescent="0.25">
      <c r="A353" s="474"/>
      <c r="B353" s="1129"/>
      <c r="C353" s="278"/>
      <c r="D353" s="766" t="s">
        <v>604</v>
      </c>
      <c r="E353" s="767"/>
      <c r="F353" s="767"/>
      <c r="G353" s="783"/>
      <c r="H353" s="308"/>
      <c r="I353" s="766" t="s">
        <v>599</v>
      </c>
      <c r="J353" s="767"/>
      <c r="K353" s="767"/>
      <c r="L353" s="783"/>
      <c r="M353" s="308"/>
      <c r="N353" s="766" t="s">
        <v>234</v>
      </c>
      <c r="O353" s="767"/>
      <c r="P353" s="767"/>
      <c r="Q353" s="783"/>
      <c r="R353" s="308"/>
      <c r="S353" s="766" t="s">
        <v>947</v>
      </c>
      <c r="T353" s="767"/>
      <c r="U353" s="767"/>
      <c r="V353" s="783"/>
      <c r="W353" s="308"/>
      <c r="X353" s="766" t="s">
        <v>948</v>
      </c>
      <c r="Y353" s="767"/>
      <c r="Z353" s="767"/>
      <c r="AA353" s="783"/>
      <c r="AB353" s="259"/>
      <c r="AC353" s="423"/>
    </row>
    <row r="354" spans="1:29" ht="16.149999999999999" customHeight="1" x14ac:dyDescent="0.25">
      <c r="A354" s="462"/>
      <c r="B354" s="1129"/>
      <c r="C354" s="278"/>
      <c r="D354" s="996">
        <v>0.8</v>
      </c>
      <c r="E354" s="997"/>
      <c r="F354" s="949">
        <v>0</v>
      </c>
      <c r="G354" s="950"/>
      <c r="H354" s="293"/>
      <c r="I354" s="815">
        <v>2.5</v>
      </c>
      <c r="J354" s="816"/>
      <c r="K354" s="949">
        <v>0</v>
      </c>
      <c r="L354" s="950"/>
      <c r="M354" s="293"/>
      <c r="N354" s="815">
        <v>7</v>
      </c>
      <c r="O354" s="816"/>
      <c r="P354" s="949"/>
      <c r="Q354" s="950"/>
      <c r="R354" s="293"/>
      <c r="S354" s="815">
        <v>1100</v>
      </c>
      <c r="T354" s="816"/>
      <c r="U354" s="949">
        <v>0</v>
      </c>
      <c r="V354" s="950"/>
      <c r="W354" s="293"/>
      <c r="X354" s="815">
        <v>700</v>
      </c>
      <c r="Y354" s="816"/>
      <c r="Z354" s="949">
        <v>0</v>
      </c>
      <c r="AA354" s="950"/>
      <c r="AB354" s="254"/>
    </row>
    <row r="355" spans="1:29" s="577" customFormat="1" ht="15.95" customHeight="1" x14ac:dyDescent="0.2">
      <c r="A355" s="571"/>
      <c r="B355" s="1129"/>
      <c r="C355" s="278"/>
      <c r="D355" s="611">
        <f>D354*G355</f>
        <v>160</v>
      </c>
      <c r="E355" s="564"/>
      <c r="F355" s="572" t="s">
        <v>291</v>
      </c>
      <c r="G355" s="573">
        <v>200</v>
      </c>
      <c r="H355" s="563"/>
      <c r="I355" s="611">
        <f>I354*L355</f>
        <v>100</v>
      </c>
      <c r="J355" s="564"/>
      <c r="K355" s="572" t="s">
        <v>291</v>
      </c>
      <c r="L355" s="573">
        <v>40</v>
      </c>
      <c r="M355" s="563"/>
      <c r="N355" s="611">
        <f>N354*Q355</f>
        <v>140</v>
      </c>
      <c r="O355" s="564"/>
      <c r="P355" s="572" t="s">
        <v>291</v>
      </c>
      <c r="Q355" s="573">
        <v>20</v>
      </c>
      <c r="R355" s="563"/>
      <c r="S355" s="612">
        <f>S354*V355</f>
        <v>1100</v>
      </c>
      <c r="T355" s="564"/>
      <c r="U355" s="572" t="s">
        <v>291</v>
      </c>
      <c r="V355" s="573">
        <v>1</v>
      </c>
      <c r="W355" s="563"/>
      <c r="X355" s="611">
        <f>X354*AA355</f>
        <v>700</v>
      </c>
      <c r="Y355" s="564"/>
      <c r="Z355" s="572" t="s">
        <v>291</v>
      </c>
      <c r="AA355" s="573">
        <v>1</v>
      </c>
      <c r="AB355" s="575"/>
      <c r="AC355" s="576"/>
    </row>
    <row r="356" spans="1:29" s="199" customFormat="1" ht="10.15" customHeight="1" x14ac:dyDescent="0.2">
      <c r="A356" s="469"/>
      <c r="B356" s="255"/>
      <c r="C356" s="255"/>
      <c r="D356" s="331"/>
      <c r="E356" s="331"/>
      <c r="F356" s="325"/>
      <c r="G356" s="321"/>
      <c r="H356" s="293"/>
      <c r="I356" s="331"/>
      <c r="J356" s="331"/>
      <c r="K356" s="325"/>
      <c r="L356" s="321"/>
      <c r="M356" s="293"/>
      <c r="N356" s="331"/>
      <c r="O356" s="331"/>
      <c r="P356" s="325"/>
      <c r="Q356" s="321"/>
      <c r="R356" s="293"/>
      <c r="S356" s="331"/>
      <c r="T356" s="331"/>
      <c r="U356" s="325"/>
      <c r="V356" s="321"/>
      <c r="W356" s="293"/>
      <c r="X356" s="636"/>
      <c r="Y356" s="636"/>
      <c r="Z356" s="325"/>
      <c r="AA356" s="321"/>
      <c r="AB356" s="255"/>
      <c r="AC356" s="418"/>
    </row>
    <row r="357" spans="1:29" s="199" customFormat="1" ht="13.5" customHeight="1" x14ac:dyDescent="0.2">
      <c r="A357" s="469"/>
      <c r="B357" s="1129" t="s">
        <v>455</v>
      </c>
      <c r="C357" s="278"/>
      <c r="D357" s="803"/>
      <c r="E357" s="804"/>
      <c r="F357" s="804"/>
      <c r="G357" s="805"/>
      <c r="H357" s="293"/>
      <c r="I357" s="803"/>
      <c r="J357" s="804"/>
      <c r="K357" s="804"/>
      <c r="L357" s="805"/>
      <c r="M357" s="293"/>
      <c r="N357" s="803"/>
      <c r="O357" s="804"/>
      <c r="P357" s="804"/>
      <c r="Q357" s="805"/>
      <c r="R357" s="293"/>
      <c r="S357" s="803"/>
      <c r="T357" s="804"/>
      <c r="U357" s="804"/>
      <c r="V357" s="805"/>
      <c r="W357" s="293"/>
      <c r="X357" s="803"/>
      <c r="Y357" s="804"/>
      <c r="Z357" s="804"/>
      <c r="AA357" s="805"/>
      <c r="AB357" s="255"/>
      <c r="AC357" s="418"/>
    </row>
    <row r="358" spans="1:29" s="199" customFormat="1" ht="13.5" customHeight="1" x14ac:dyDescent="0.2">
      <c r="A358" s="469"/>
      <c r="B358" s="1129"/>
      <c r="C358" s="278"/>
      <c r="D358" s="854"/>
      <c r="E358" s="855"/>
      <c r="F358" s="855"/>
      <c r="G358" s="856"/>
      <c r="H358" s="293"/>
      <c r="I358" s="854"/>
      <c r="J358" s="855"/>
      <c r="K358" s="855"/>
      <c r="L358" s="856"/>
      <c r="M358" s="293"/>
      <c r="N358" s="854"/>
      <c r="O358" s="855"/>
      <c r="P358" s="855"/>
      <c r="Q358" s="856"/>
      <c r="R358" s="293"/>
      <c r="S358" s="854"/>
      <c r="T358" s="855"/>
      <c r="U358" s="855"/>
      <c r="V358" s="856"/>
      <c r="W358" s="293"/>
      <c r="X358" s="774"/>
      <c r="Y358" s="775"/>
      <c r="Z358" s="775"/>
      <c r="AA358" s="776"/>
      <c r="AB358" s="255"/>
      <c r="AC358" s="418"/>
    </row>
    <row r="359" spans="1:29" s="199" customFormat="1" ht="13.5" customHeight="1" x14ac:dyDescent="0.2">
      <c r="A359" s="469"/>
      <c r="B359" s="1129"/>
      <c r="C359" s="278"/>
      <c r="D359" s="854"/>
      <c r="E359" s="855"/>
      <c r="F359" s="855"/>
      <c r="G359" s="856"/>
      <c r="H359" s="293"/>
      <c r="I359" s="854"/>
      <c r="J359" s="855"/>
      <c r="K359" s="855"/>
      <c r="L359" s="856"/>
      <c r="M359" s="293"/>
      <c r="N359" s="854"/>
      <c r="O359" s="855"/>
      <c r="P359" s="855"/>
      <c r="Q359" s="856"/>
      <c r="R359" s="293"/>
      <c r="S359" s="854"/>
      <c r="T359" s="855"/>
      <c r="U359" s="855"/>
      <c r="V359" s="856"/>
      <c r="W359" s="293"/>
      <c r="X359" s="632"/>
      <c r="Y359" s="633"/>
      <c r="Z359" s="633"/>
      <c r="AA359" s="634"/>
      <c r="AB359" s="255"/>
      <c r="AC359" s="418"/>
    </row>
    <row r="360" spans="1:29" s="199" customFormat="1" ht="13.5" customHeight="1" x14ac:dyDescent="0.2">
      <c r="A360" s="469"/>
      <c r="B360" s="1129"/>
      <c r="C360" s="278"/>
      <c r="D360" s="854"/>
      <c r="E360" s="855"/>
      <c r="F360" s="855"/>
      <c r="G360" s="856"/>
      <c r="H360" s="293"/>
      <c r="I360" s="854"/>
      <c r="J360" s="855"/>
      <c r="K360" s="855"/>
      <c r="L360" s="856"/>
      <c r="M360" s="293"/>
      <c r="N360" s="854"/>
      <c r="O360" s="855"/>
      <c r="P360" s="855"/>
      <c r="Q360" s="856"/>
      <c r="R360" s="293"/>
      <c r="S360" s="854"/>
      <c r="T360" s="855"/>
      <c r="U360" s="855"/>
      <c r="V360" s="856"/>
      <c r="W360" s="293"/>
      <c r="X360" s="774"/>
      <c r="Y360" s="775"/>
      <c r="Z360" s="775"/>
      <c r="AA360" s="776"/>
      <c r="AB360" s="255"/>
      <c r="AC360" s="418"/>
    </row>
    <row r="361" spans="1:29" s="199" customFormat="1" ht="13.5" customHeight="1" x14ac:dyDescent="0.2">
      <c r="A361" s="469"/>
      <c r="B361" s="1129"/>
      <c r="C361" s="278"/>
      <c r="D361" s="854"/>
      <c r="E361" s="855"/>
      <c r="F361" s="855"/>
      <c r="G361" s="856"/>
      <c r="H361" s="293"/>
      <c r="I361" s="854"/>
      <c r="J361" s="855"/>
      <c r="K361" s="855"/>
      <c r="L361" s="856"/>
      <c r="M361" s="293"/>
      <c r="N361" s="854"/>
      <c r="O361" s="855"/>
      <c r="P361" s="855"/>
      <c r="Q361" s="856"/>
      <c r="R361" s="293"/>
      <c r="S361" s="854"/>
      <c r="T361" s="855"/>
      <c r="U361" s="855"/>
      <c r="V361" s="856"/>
      <c r="W361" s="293"/>
      <c r="X361" s="774"/>
      <c r="Y361" s="775"/>
      <c r="Z361" s="775"/>
      <c r="AA361" s="776"/>
      <c r="AB361" s="255"/>
      <c r="AC361" s="418"/>
    </row>
    <row r="362" spans="1:29" s="199" customFormat="1" ht="13.5" customHeight="1" x14ac:dyDescent="0.2">
      <c r="A362" s="469"/>
      <c r="B362" s="1129"/>
      <c r="C362" s="278"/>
      <c r="D362" s="972"/>
      <c r="E362" s="973"/>
      <c r="F362" s="973"/>
      <c r="G362" s="974"/>
      <c r="H362" s="293"/>
      <c r="I362" s="972"/>
      <c r="J362" s="973"/>
      <c r="K362" s="973"/>
      <c r="L362" s="974"/>
      <c r="M362" s="293"/>
      <c r="N362" s="972"/>
      <c r="O362" s="973"/>
      <c r="P362" s="973"/>
      <c r="Q362" s="974"/>
      <c r="R362" s="293"/>
      <c r="S362" s="972"/>
      <c r="T362" s="973"/>
      <c r="U362" s="973"/>
      <c r="V362" s="974"/>
      <c r="W362" s="293"/>
      <c r="X362" s="777"/>
      <c r="Y362" s="778"/>
      <c r="Z362" s="778"/>
      <c r="AA362" s="779"/>
      <c r="AB362" s="255"/>
      <c r="AC362" s="418"/>
    </row>
    <row r="363" spans="1:29" s="199" customFormat="1" ht="13.5" customHeight="1" x14ac:dyDescent="0.25">
      <c r="A363" s="469"/>
      <c r="B363" s="1129"/>
      <c r="C363" s="278"/>
      <c r="D363" s="867" t="s">
        <v>861</v>
      </c>
      <c r="E363" s="868"/>
      <c r="F363" s="868"/>
      <c r="G363" s="869"/>
      <c r="H363" s="293"/>
      <c r="I363" s="867" t="s">
        <v>860</v>
      </c>
      <c r="J363" s="868"/>
      <c r="K363" s="868"/>
      <c r="L363" s="869"/>
      <c r="M363" s="293"/>
      <c r="N363" s="867" t="s">
        <v>859</v>
      </c>
      <c r="O363" s="868"/>
      <c r="P363" s="868"/>
      <c r="Q363" s="869"/>
      <c r="R363" s="293"/>
      <c r="S363" s="867" t="s">
        <v>454</v>
      </c>
      <c r="T363" s="868"/>
      <c r="U363" s="868"/>
      <c r="V363" s="869"/>
      <c r="W363" s="293"/>
      <c r="X363" s="857" t="s">
        <v>184</v>
      </c>
      <c r="Y363" s="858"/>
      <c r="Z363" s="858"/>
      <c r="AA363" s="859"/>
      <c r="AB363" s="255"/>
      <c r="AC363" s="418"/>
    </row>
    <row r="364" spans="1:29" s="199" customFormat="1" ht="27" customHeight="1" x14ac:dyDescent="0.2">
      <c r="A364" s="469"/>
      <c r="B364" s="1129"/>
      <c r="C364" s="278"/>
      <c r="D364" s="766" t="s">
        <v>794</v>
      </c>
      <c r="E364" s="767"/>
      <c r="F364" s="767"/>
      <c r="G364" s="783"/>
      <c r="H364" s="308"/>
      <c r="I364" s="766" t="s">
        <v>795</v>
      </c>
      <c r="J364" s="767"/>
      <c r="K364" s="767"/>
      <c r="L364" s="783"/>
      <c r="M364" s="308"/>
      <c r="N364" s="766" t="s">
        <v>796</v>
      </c>
      <c r="O364" s="767"/>
      <c r="P364" s="767"/>
      <c r="Q364" s="783"/>
      <c r="R364" s="293"/>
      <c r="S364" s="766" t="s">
        <v>606</v>
      </c>
      <c r="T364" s="767"/>
      <c r="U364" s="767"/>
      <c r="V364" s="783"/>
      <c r="W364" s="293"/>
      <c r="X364" s="766" t="s">
        <v>605</v>
      </c>
      <c r="Y364" s="767"/>
      <c r="Z364" s="767"/>
      <c r="AA364" s="783"/>
      <c r="AB364" s="255"/>
      <c r="AC364" s="418"/>
    </row>
    <row r="365" spans="1:29" s="199" customFormat="1" ht="16.149999999999999" customHeight="1" x14ac:dyDescent="0.25">
      <c r="A365" s="469"/>
      <c r="B365" s="1129"/>
      <c r="C365" s="278"/>
      <c r="D365" s="815">
        <v>18</v>
      </c>
      <c r="E365" s="816"/>
      <c r="F365" s="949">
        <v>0</v>
      </c>
      <c r="G365" s="950"/>
      <c r="H365" s="346"/>
      <c r="I365" s="815">
        <v>19</v>
      </c>
      <c r="J365" s="816"/>
      <c r="K365" s="949">
        <v>0</v>
      </c>
      <c r="L365" s="950"/>
      <c r="M365" s="293"/>
      <c r="N365" s="815">
        <v>22</v>
      </c>
      <c r="O365" s="816"/>
      <c r="P365" s="949">
        <v>0</v>
      </c>
      <c r="Q365" s="950"/>
      <c r="R365" s="293"/>
      <c r="S365" s="815">
        <v>0.5</v>
      </c>
      <c r="T365" s="816"/>
      <c r="U365" s="949">
        <v>0</v>
      </c>
      <c r="V365" s="950"/>
      <c r="W365" s="293"/>
      <c r="X365" s="1169">
        <v>7</v>
      </c>
      <c r="Y365" s="1170"/>
      <c r="Z365" s="993">
        <v>0</v>
      </c>
      <c r="AA365" s="994"/>
      <c r="AB365" s="255"/>
      <c r="AC365" s="418"/>
    </row>
    <row r="366" spans="1:29" s="577" customFormat="1" ht="15.95" customHeight="1" x14ac:dyDescent="0.2">
      <c r="A366" s="571"/>
      <c r="B366" s="1129"/>
      <c r="C366" s="278"/>
      <c r="D366" s="611">
        <f>D365*G366</f>
        <v>180</v>
      </c>
      <c r="E366" s="564"/>
      <c r="F366" s="572" t="s">
        <v>291</v>
      </c>
      <c r="G366" s="573">
        <v>10</v>
      </c>
      <c r="H366" s="563"/>
      <c r="I366" s="611">
        <f>I365*L366</f>
        <v>190</v>
      </c>
      <c r="J366" s="564"/>
      <c r="K366" s="572" t="s">
        <v>291</v>
      </c>
      <c r="L366" s="573">
        <v>10</v>
      </c>
      <c r="M366" s="563"/>
      <c r="N366" s="611">
        <f>N365*Q366</f>
        <v>220</v>
      </c>
      <c r="O366" s="564"/>
      <c r="P366" s="572" t="s">
        <v>291</v>
      </c>
      <c r="Q366" s="573">
        <v>10</v>
      </c>
      <c r="R366" s="563"/>
      <c r="S366" s="611">
        <f>S365*V366</f>
        <v>200</v>
      </c>
      <c r="T366" s="564"/>
      <c r="U366" s="572" t="s">
        <v>291</v>
      </c>
      <c r="V366" s="573">
        <v>400</v>
      </c>
      <c r="W366" s="574"/>
      <c r="X366" s="611">
        <f>X365*AA366</f>
        <v>245</v>
      </c>
      <c r="Y366" s="578"/>
      <c r="Z366" s="579" t="s">
        <v>291</v>
      </c>
      <c r="AA366" s="580">
        <v>35</v>
      </c>
      <c r="AB366" s="575"/>
      <c r="AC366" s="576"/>
    </row>
    <row r="367" spans="1:29" s="199" customFormat="1" ht="10.15" customHeight="1" x14ac:dyDescent="0.2">
      <c r="A367" s="469"/>
      <c r="B367" s="255"/>
      <c r="C367" s="255"/>
      <c r="D367" s="643"/>
      <c r="E367" s="643"/>
      <c r="F367" s="325"/>
      <c r="G367" s="321"/>
      <c r="H367" s="293"/>
      <c r="I367" s="643"/>
      <c r="J367" s="643"/>
      <c r="K367" s="325"/>
      <c r="L367" s="321"/>
      <c r="M367" s="293"/>
      <c r="N367" s="643"/>
      <c r="O367" s="643"/>
      <c r="P367" s="325"/>
      <c r="Q367" s="321"/>
      <c r="R367" s="293"/>
      <c r="S367" s="643"/>
      <c r="T367" s="643"/>
      <c r="U367" s="325"/>
      <c r="V367" s="321"/>
      <c r="W367" s="293"/>
      <c r="X367" s="643"/>
      <c r="Y367" s="643"/>
      <c r="Z367" s="325"/>
      <c r="AA367" s="321"/>
      <c r="AB367" s="255"/>
      <c r="AC367" s="418"/>
    </row>
    <row r="368" spans="1:29" ht="13.9" customHeight="1" x14ac:dyDescent="0.2">
      <c r="A368" s="462"/>
      <c r="B368" s="254"/>
      <c r="C368" s="254"/>
      <c r="D368" s="788"/>
      <c r="E368" s="789"/>
      <c r="F368" s="789"/>
      <c r="G368" s="790"/>
      <c r="H368" s="293"/>
      <c r="I368" s="979"/>
      <c r="J368" s="980"/>
      <c r="K368" s="980"/>
      <c r="L368" s="981"/>
      <c r="M368" s="293"/>
      <c r="N368" s="788"/>
      <c r="O368" s="789"/>
      <c r="P368" s="789"/>
      <c r="Q368" s="790"/>
      <c r="R368" s="293"/>
      <c r="S368" s="788"/>
      <c r="T368" s="789"/>
      <c r="U368" s="789"/>
      <c r="V368" s="790"/>
      <c r="W368" s="293"/>
      <c r="X368" s="359"/>
      <c r="Y368" s="359"/>
      <c r="Z368" s="359"/>
      <c r="AA368" s="359"/>
      <c r="AB368" s="254"/>
      <c r="AC368" s="189"/>
    </row>
    <row r="369" spans="1:29" ht="13.9" customHeight="1" x14ac:dyDescent="0.2">
      <c r="A369" s="462"/>
      <c r="B369" s="254"/>
      <c r="C369" s="254"/>
      <c r="D369" s="791"/>
      <c r="E369" s="792"/>
      <c r="F369" s="792"/>
      <c r="G369" s="793"/>
      <c r="H369" s="293"/>
      <c r="I369" s="982"/>
      <c r="J369" s="983"/>
      <c r="K369" s="983"/>
      <c r="L369" s="984"/>
      <c r="M369" s="293"/>
      <c r="N369" s="791"/>
      <c r="O369" s="792"/>
      <c r="P369" s="792"/>
      <c r="Q369" s="793"/>
      <c r="R369" s="293"/>
      <c r="S369" s="791"/>
      <c r="T369" s="792"/>
      <c r="U369" s="792"/>
      <c r="V369" s="793"/>
      <c r="W369" s="293"/>
      <c r="X369" s="359"/>
      <c r="Y369" s="359"/>
      <c r="Z369" s="359"/>
      <c r="AA369" s="359"/>
      <c r="AB369" s="254"/>
      <c r="AC369" s="189"/>
    </row>
    <row r="370" spans="1:29" ht="13.9" customHeight="1" x14ac:dyDescent="0.2">
      <c r="A370" s="462"/>
      <c r="B370" s="254"/>
      <c r="C370" s="254"/>
      <c r="D370" s="791"/>
      <c r="E370" s="792"/>
      <c r="F370" s="792"/>
      <c r="G370" s="793"/>
      <c r="H370" s="293"/>
      <c r="I370" s="982"/>
      <c r="J370" s="983"/>
      <c r="K370" s="983"/>
      <c r="L370" s="984"/>
      <c r="M370" s="293"/>
      <c r="N370" s="640"/>
      <c r="O370" s="641"/>
      <c r="P370" s="641"/>
      <c r="Q370" s="642"/>
      <c r="R370" s="293"/>
      <c r="S370" s="640"/>
      <c r="T370" s="641"/>
      <c r="U370" s="641"/>
      <c r="V370" s="642"/>
      <c r="W370" s="293"/>
      <c r="X370" s="359"/>
      <c r="Y370" s="359"/>
      <c r="Z370" s="359"/>
      <c r="AA370" s="359"/>
      <c r="AB370" s="254"/>
      <c r="AC370" s="189"/>
    </row>
    <row r="371" spans="1:29" ht="13.9" customHeight="1" x14ac:dyDescent="0.2">
      <c r="A371" s="462"/>
      <c r="B371" s="254"/>
      <c r="C371" s="254"/>
      <c r="D371" s="791"/>
      <c r="E371" s="792"/>
      <c r="F371" s="792"/>
      <c r="G371" s="793"/>
      <c r="H371" s="293"/>
      <c r="I371" s="982"/>
      <c r="J371" s="983"/>
      <c r="K371" s="983"/>
      <c r="L371" s="984"/>
      <c r="M371" s="293"/>
      <c r="N371" s="791"/>
      <c r="O371" s="792"/>
      <c r="P371" s="792"/>
      <c r="Q371" s="793"/>
      <c r="R371" s="293"/>
      <c r="S371" s="791"/>
      <c r="T371" s="792"/>
      <c r="U371" s="792"/>
      <c r="V371" s="793"/>
      <c r="W371" s="293"/>
      <c r="X371" s="359"/>
      <c r="Y371" s="359"/>
      <c r="Z371" s="359"/>
      <c r="AA371" s="359"/>
      <c r="AB371" s="254"/>
      <c r="AC371" s="189"/>
    </row>
    <row r="372" spans="1:29" ht="13.9" customHeight="1" x14ac:dyDescent="0.2">
      <c r="A372" s="462"/>
      <c r="B372" s="254"/>
      <c r="C372" s="254"/>
      <c r="D372" s="791"/>
      <c r="E372" s="792"/>
      <c r="F372" s="792"/>
      <c r="G372" s="793"/>
      <c r="H372" s="293"/>
      <c r="I372" s="982"/>
      <c r="J372" s="983"/>
      <c r="K372" s="983"/>
      <c r="L372" s="984"/>
      <c r="M372" s="293"/>
      <c r="N372" s="791"/>
      <c r="O372" s="792"/>
      <c r="P372" s="792"/>
      <c r="Q372" s="793"/>
      <c r="R372" s="293"/>
      <c r="S372" s="791"/>
      <c r="T372" s="792"/>
      <c r="U372" s="792"/>
      <c r="V372" s="793"/>
      <c r="W372" s="293"/>
      <c r="X372" s="359"/>
      <c r="Y372" s="359"/>
      <c r="Z372" s="359"/>
      <c r="AA372" s="359"/>
      <c r="AB372" s="254"/>
      <c r="AC372" s="189"/>
    </row>
    <row r="373" spans="1:29" ht="13.9" customHeight="1" x14ac:dyDescent="0.2">
      <c r="A373" s="462"/>
      <c r="B373" s="254"/>
      <c r="C373" s="254"/>
      <c r="D373" s="794"/>
      <c r="E373" s="795"/>
      <c r="F373" s="795"/>
      <c r="G373" s="796"/>
      <c r="H373" s="293"/>
      <c r="I373" s="985"/>
      <c r="J373" s="986"/>
      <c r="K373" s="986"/>
      <c r="L373" s="987"/>
      <c r="M373" s="293"/>
      <c r="N373" s="794"/>
      <c r="O373" s="795"/>
      <c r="P373" s="795"/>
      <c r="Q373" s="796"/>
      <c r="R373" s="293"/>
      <c r="S373" s="794"/>
      <c r="T373" s="795"/>
      <c r="U373" s="795"/>
      <c r="V373" s="796"/>
      <c r="W373" s="293"/>
      <c r="X373" s="359"/>
      <c r="Y373" s="359"/>
      <c r="Z373" s="359"/>
      <c r="AA373" s="359"/>
      <c r="AB373" s="254"/>
      <c r="AC373" s="189"/>
    </row>
    <row r="374" spans="1:29" ht="13.9" customHeight="1" x14ac:dyDescent="0.25">
      <c r="A374" s="462"/>
      <c r="B374" s="254"/>
      <c r="C374" s="254"/>
      <c r="D374" s="800" t="s">
        <v>504</v>
      </c>
      <c r="E374" s="801"/>
      <c r="F374" s="801"/>
      <c r="G374" s="802"/>
      <c r="H374" s="293"/>
      <c r="I374" s="800" t="s">
        <v>505</v>
      </c>
      <c r="J374" s="801"/>
      <c r="K374" s="801"/>
      <c r="L374" s="802"/>
      <c r="M374" s="293"/>
      <c r="N374" s="800" t="s">
        <v>506</v>
      </c>
      <c r="O374" s="801"/>
      <c r="P374" s="801"/>
      <c r="Q374" s="802"/>
      <c r="R374" s="293"/>
      <c r="S374" s="800" t="s">
        <v>507</v>
      </c>
      <c r="T374" s="801"/>
      <c r="U374" s="801"/>
      <c r="V374" s="802"/>
      <c r="W374" s="293"/>
      <c r="X374" s="359"/>
      <c r="Y374" s="359"/>
      <c r="Z374" s="359"/>
      <c r="AA374" s="359"/>
      <c r="AB374" s="254"/>
      <c r="AC374" s="189"/>
    </row>
    <row r="375" spans="1:29" ht="27" customHeight="1" x14ac:dyDescent="0.2">
      <c r="A375" s="462"/>
      <c r="B375" s="254"/>
      <c r="C375" s="254"/>
      <c r="D375" s="766" t="s">
        <v>508</v>
      </c>
      <c r="E375" s="767"/>
      <c r="F375" s="768"/>
      <c r="G375" s="769"/>
      <c r="H375" s="308"/>
      <c r="I375" s="766" t="s">
        <v>509</v>
      </c>
      <c r="J375" s="767"/>
      <c r="K375" s="768"/>
      <c r="L375" s="769"/>
      <c r="M375" s="308"/>
      <c r="N375" s="766" t="s">
        <v>510</v>
      </c>
      <c r="O375" s="767"/>
      <c r="P375" s="768"/>
      <c r="Q375" s="769"/>
      <c r="R375" s="308"/>
      <c r="S375" s="766" t="s">
        <v>511</v>
      </c>
      <c r="T375" s="767"/>
      <c r="U375" s="768"/>
      <c r="V375" s="769"/>
      <c r="W375" s="308"/>
      <c r="X375" s="359"/>
      <c r="Y375" s="359"/>
      <c r="Z375" s="359"/>
      <c r="AA375" s="359"/>
      <c r="AB375" s="254"/>
      <c r="AC375" s="189"/>
    </row>
    <row r="376" spans="1:29" ht="16.149999999999999" customHeight="1" x14ac:dyDescent="0.25">
      <c r="A376" s="462"/>
      <c r="B376" s="254"/>
      <c r="C376" s="254"/>
      <c r="D376" s="991">
        <v>45</v>
      </c>
      <c r="E376" s="992"/>
      <c r="F376" s="885">
        <v>0</v>
      </c>
      <c r="G376" s="886"/>
      <c r="H376" s="293"/>
      <c r="I376" s="991">
        <v>95</v>
      </c>
      <c r="J376" s="992"/>
      <c r="K376" s="885">
        <v>0</v>
      </c>
      <c r="L376" s="886"/>
      <c r="M376" s="293"/>
      <c r="N376" s="991">
        <v>45</v>
      </c>
      <c r="O376" s="992"/>
      <c r="P376" s="885">
        <v>0</v>
      </c>
      <c r="Q376" s="886"/>
      <c r="R376" s="293"/>
      <c r="S376" s="991">
        <v>115</v>
      </c>
      <c r="T376" s="992"/>
      <c r="U376" s="885">
        <v>0</v>
      </c>
      <c r="V376" s="886"/>
      <c r="W376" s="293"/>
      <c r="X376" s="359"/>
      <c r="Y376" s="359"/>
      <c r="Z376" s="359"/>
      <c r="AA376" s="359"/>
      <c r="AB376" s="254"/>
      <c r="AC376" s="189"/>
    </row>
    <row r="377" spans="1:29" s="199" customFormat="1" ht="27" customHeight="1" thickBot="1" x14ac:dyDescent="0.25">
      <c r="A377" s="469"/>
      <c r="B377" s="255"/>
      <c r="C377" s="255"/>
      <c r="D377" s="311"/>
      <c r="E377" s="298"/>
      <c r="F377" s="299"/>
      <c r="G377" s="312"/>
      <c r="H377" s="294"/>
      <c r="I377" s="309"/>
      <c r="J377" s="309"/>
      <c r="K377" s="309"/>
      <c r="L377" s="309"/>
      <c r="M377" s="294"/>
      <c r="N377" s="309"/>
      <c r="O377" s="309"/>
      <c r="P377" s="309"/>
      <c r="Q377" s="309"/>
      <c r="R377" s="294"/>
      <c r="S377" s="309"/>
      <c r="T377" s="309"/>
      <c r="U377" s="309"/>
      <c r="V377" s="309"/>
      <c r="W377" s="294"/>
      <c r="X377" s="644"/>
      <c r="Y377" s="644"/>
      <c r="Z377" s="644"/>
      <c r="AA377" s="644"/>
      <c r="AB377" s="255"/>
      <c r="AC377" s="418"/>
    </row>
    <row r="378" spans="1:29" s="202" customFormat="1" ht="27" customHeight="1" thickTop="1" x14ac:dyDescent="0.3">
      <c r="A378" s="475"/>
      <c r="B378" s="400"/>
      <c r="C378" s="400"/>
      <c r="D378" s="850" t="s">
        <v>111</v>
      </c>
      <c r="E378" s="850"/>
      <c r="F378" s="850"/>
      <c r="G378" s="850"/>
      <c r="H378" s="850"/>
      <c r="I378" s="850"/>
      <c r="J378" s="850"/>
      <c r="K378" s="850"/>
      <c r="L378" s="850"/>
      <c r="M378" s="850"/>
      <c r="N378" s="850"/>
      <c r="O378" s="850"/>
      <c r="P378" s="850"/>
      <c r="Q378" s="850"/>
      <c r="R378" s="850"/>
      <c r="S378" s="850"/>
      <c r="T378" s="850"/>
      <c r="U378" s="850"/>
      <c r="V378" s="850"/>
      <c r="W378" s="850"/>
      <c r="X378" s="850"/>
      <c r="Y378" s="850"/>
      <c r="Z378" s="850"/>
      <c r="AA378" s="850"/>
      <c r="AB378" s="400"/>
      <c r="AC378" s="424"/>
    </row>
    <row r="379" spans="1:29" s="202" customFormat="1" ht="19.899999999999999" customHeight="1" x14ac:dyDescent="0.3">
      <c r="A379" s="475"/>
      <c r="B379" s="261"/>
      <c r="C379" s="261"/>
      <c r="D379" s="339"/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13"/>
      <c r="X379" s="313"/>
      <c r="Y379" s="313"/>
      <c r="Z379" s="313"/>
      <c r="AA379" s="313"/>
      <c r="AB379" s="261"/>
      <c r="AC379" s="424"/>
    </row>
    <row r="380" spans="1:29" ht="14.25" x14ac:dyDescent="0.2">
      <c r="A380" s="462"/>
      <c r="B380" s="254"/>
      <c r="C380" s="254"/>
      <c r="D380" s="803"/>
      <c r="E380" s="804"/>
      <c r="F380" s="804"/>
      <c r="G380" s="805"/>
      <c r="H380" s="293"/>
      <c r="I380" s="803"/>
      <c r="J380" s="804"/>
      <c r="K380" s="804"/>
      <c r="L380" s="805"/>
      <c r="M380" s="293"/>
      <c r="N380" s="788"/>
      <c r="O380" s="789"/>
      <c r="P380" s="789"/>
      <c r="Q380" s="790"/>
      <c r="R380" s="293"/>
      <c r="S380" s="788"/>
      <c r="T380" s="789"/>
      <c r="U380" s="789"/>
      <c r="V380" s="790"/>
      <c r="W380" s="290"/>
      <c r="X380" s="963"/>
      <c r="Y380" s="963"/>
      <c r="Z380" s="963"/>
      <c r="AA380" s="963"/>
      <c r="AB380" s="254"/>
    </row>
    <row r="381" spans="1:29" ht="14.25" x14ac:dyDescent="0.2">
      <c r="A381" s="462"/>
      <c r="B381" s="254"/>
      <c r="C381" s="254"/>
      <c r="D381" s="791"/>
      <c r="E381" s="792"/>
      <c r="F381" s="792"/>
      <c r="G381" s="793"/>
      <c r="H381" s="293"/>
      <c r="I381" s="791"/>
      <c r="J381" s="792"/>
      <c r="K381" s="792"/>
      <c r="L381" s="793"/>
      <c r="M381" s="293"/>
      <c r="N381" s="791"/>
      <c r="O381" s="792"/>
      <c r="P381" s="792"/>
      <c r="Q381" s="793"/>
      <c r="R381" s="293"/>
      <c r="S381" s="791"/>
      <c r="T381" s="792"/>
      <c r="U381" s="792"/>
      <c r="V381" s="793"/>
      <c r="W381" s="290"/>
      <c r="X381" s="963"/>
      <c r="Y381" s="963"/>
      <c r="Z381" s="963"/>
      <c r="AA381" s="963"/>
      <c r="AB381" s="254"/>
    </row>
    <row r="382" spans="1:29" ht="14.25" x14ac:dyDescent="0.2">
      <c r="A382" s="462"/>
      <c r="B382" s="254"/>
      <c r="C382" s="254"/>
      <c r="D382" s="316"/>
      <c r="E382" s="317"/>
      <c r="F382" s="317"/>
      <c r="G382" s="318"/>
      <c r="H382" s="293"/>
      <c r="I382" s="316"/>
      <c r="J382" s="317"/>
      <c r="K382" s="317"/>
      <c r="L382" s="318"/>
      <c r="M382" s="293"/>
      <c r="N382" s="316"/>
      <c r="O382" s="317"/>
      <c r="P382" s="317"/>
      <c r="Q382" s="318"/>
      <c r="R382" s="293"/>
      <c r="S382" s="628"/>
      <c r="T382" s="629"/>
      <c r="U382" s="629"/>
      <c r="V382" s="630"/>
      <c r="W382" s="290"/>
      <c r="X382" s="726"/>
      <c r="Y382" s="726"/>
      <c r="Z382" s="726"/>
      <c r="AA382" s="726"/>
      <c r="AB382" s="254"/>
    </row>
    <row r="383" spans="1:29" ht="14.25" x14ac:dyDescent="0.2">
      <c r="A383" s="462"/>
      <c r="B383" s="254"/>
      <c r="C383" s="254"/>
      <c r="D383" s="791"/>
      <c r="E383" s="792"/>
      <c r="F383" s="792"/>
      <c r="G383" s="793"/>
      <c r="H383" s="293"/>
      <c r="I383" s="791"/>
      <c r="J383" s="792"/>
      <c r="K383" s="792"/>
      <c r="L383" s="793"/>
      <c r="M383" s="293"/>
      <c r="N383" s="791"/>
      <c r="O383" s="792"/>
      <c r="P383" s="792"/>
      <c r="Q383" s="793"/>
      <c r="R383" s="293"/>
      <c r="S383" s="791"/>
      <c r="T383" s="792"/>
      <c r="U383" s="792"/>
      <c r="V383" s="793"/>
      <c r="W383" s="290"/>
      <c r="X383" s="963"/>
      <c r="Y383" s="963"/>
      <c r="Z383" s="963"/>
      <c r="AA383" s="963"/>
      <c r="AB383" s="254"/>
    </row>
    <row r="384" spans="1:29" ht="14.25" x14ac:dyDescent="0.2">
      <c r="A384" s="462"/>
      <c r="B384" s="254"/>
      <c r="C384" s="254"/>
      <c r="D384" s="791"/>
      <c r="E384" s="792"/>
      <c r="F384" s="792"/>
      <c r="G384" s="793"/>
      <c r="H384" s="293"/>
      <c r="I384" s="791"/>
      <c r="J384" s="792"/>
      <c r="K384" s="792"/>
      <c r="L384" s="793"/>
      <c r="M384" s="293"/>
      <c r="N384" s="791"/>
      <c r="O384" s="792"/>
      <c r="P384" s="792"/>
      <c r="Q384" s="793"/>
      <c r="R384" s="293"/>
      <c r="S384" s="791"/>
      <c r="T384" s="792"/>
      <c r="U384" s="792"/>
      <c r="V384" s="793"/>
      <c r="W384" s="290"/>
      <c r="X384" s="963"/>
      <c r="Y384" s="963"/>
      <c r="Z384" s="963"/>
      <c r="AA384" s="963"/>
      <c r="AB384" s="254"/>
    </row>
    <row r="385" spans="1:29" s="200" customFormat="1" ht="15" x14ac:dyDescent="0.25">
      <c r="A385" s="471"/>
      <c r="B385" s="254"/>
      <c r="C385" s="254"/>
      <c r="D385" s="794"/>
      <c r="E385" s="795"/>
      <c r="F385" s="795"/>
      <c r="G385" s="796"/>
      <c r="H385" s="293"/>
      <c r="I385" s="794"/>
      <c r="J385" s="795"/>
      <c r="K385" s="795"/>
      <c r="L385" s="796"/>
      <c r="M385" s="293"/>
      <c r="N385" s="794"/>
      <c r="O385" s="795"/>
      <c r="P385" s="795"/>
      <c r="Q385" s="796"/>
      <c r="R385" s="293"/>
      <c r="S385" s="794"/>
      <c r="T385" s="795"/>
      <c r="U385" s="795"/>
      <c r="V385" s="796"/>
      <c r="W385" s="290"/>
      <c r="X385" s="963"/>
      <c r="Y385" s="963"/>
      <c r="Z385" s="963"/>
      <c r="AA385" s="963"/>
      <c r="AB385" s="254"/>
      <c r="AC385" s="420"/>
    </row>
    <row r="386" spans="1:29" ht="15" x14ac:dyDescent="0.25">
      <c r="A386" s="462"/>
      <c r="B386" s="254"/>
      <c r="C386" s="254"/>
      <c r="D386" s="800" t="s">
        <v>193</v>
      </c>
      <c r="E386" s="801"/>
      <c r="F386" s="801"/>
      <c r="G386" s="802"/>
      <c r="H386" s="293"/>
      <c r="I386" s="800" t="s">
        <v>194</v>
      </c>
      <c r="J386" s="801"/>
      <c r="K386" s="801"/>
      <c r="L386" s="802"/>
      <c r="M386" s="293"/>
      <c r="N386" s="800" t="s">
        <v>525</v>
      </c>
      <c r="O386" s="801"/>
      <c r="P386" s="801"/>
      <c r="Q386" s="802"/>
      <c r="R386" s="293"/>
      <c r="S386" s="800" t="s">
        <v>528</v>
      </c>
      <c r="T386" s="801"/>
      <c r="U386" s="801"/>
      <c r="V386" s="802"/>
      <c r="W386" s="290"/>
      <c r="X386" s="964"/>
      <c r="Y386" s="964"/>
      <c r="Z386" s="964"/>
      <c r="AA386" s="964"/>
      <c r="AB386" s="254"/>
    </row>
    <row r="387" spans="1:29" s="193" customFormat="1" ht="27" customHeight="1" x14ac:dyDescent="0.25">
      <c r="A387" s="465"/>
      <c r="B387" s="259"/>
      <c r="C387" s="259"/>
      <c r="D387" s="766" t="s">
        <v>405</v>
      </c>
      <c r="E387" s="767"/>
      <c r="F387" s="768"/>
      <c r="G387" s="769"/>
      <c r="H387" s="308"/>
      <c r="I387" s="766" t="s">
        <v>503</v>
      </c>
      <c r="J387" s="767"/>
      <c r="K387" s="768"/>
      <c r="L387" s="769"/>
      <c r="M387" s="308"/>
      <c r="N387" s="766" t="s">
        <v>526</v>
      </c>
      <c r="O387" s="767"/>
      <c r="P387" s="768"/>
      <c r="Q387" s="769"/>
      <c r="R387" s="308"/>
      <c r="S387" s="766" t="s">
        <v>527</v>
      </c>
      <c r="T387" s="767"/>
      <c r="U387" s="768"/>
      <c r="V387" s="769"/>
      <c r="W387" s="308"/>
      <c r="X387" s="965"/>
      <c r="Y387" s="965"/>
      <c r="Z387" s="965"/>
      <c r="AA387" s="965"/>
      <c r="AB387" s="259"/>
      <c r="AC387" s="395"/>
    </row>
    <row r="388" spans="1:29" ht="16.149999999999999" customHeight="1" x14ac:dyDescent="0.25">
      <c r="A388" s="462"/>
      <c r="B388" s="254"/>
      <c r="C388" s="254"/>
      <c r="D388" s="807">
        <v>175</v>
      </c>
      <c r="E388" s="966"/>
      <c r="F388" s="885">
        <v>0</v>
      </c>
      <c r="G388" s="886"/>
      <c r="H388" s="293"/>
      <c r="I388" s="864">
        <v>105</v>
      </c>
      <c r="J388" s="865"/>
      <c r="K388" s="885">
        <v>0</v>
      </c>
      <c r="L388" s="886"/>
      <c r="M388" s="293"/>
      <c r="N388" s="864">
        <v>160</v>
      </c>
      <c r="O388" s="865"/>
      <c r="P388" s="885">
        <v>0</v>
      </c>
      <c r="Q388" s="886"/>
      <c r="R388" s="293"/>
      <c r="S388" s="864">
        <v>90</v>
      </c>
      <c r="T388" s="865"/>
      <c r="U388" s="885">
        <v>0</v>
      </c>
      <c r="V388" s="886"/>
      <c r="W388" s="290"/>
      <c r="X388" s="990"/>
      <c r="Y388" s="990"/>
      <c r="Z388" s="887"/>
      <c r="AA388" s="887"/>
      <c r="AB388" s="254"/>
    </row>
    <row r="389" spans="1:29" ht="27" customHeight="1" thickBot="1" x14ac:dyDescent="0.25">
      <c r="A389" s="462"/>
      <c r="B389" s="254"/>
      <c r="C389" s="254"/>
      <c r="D389" s="314"/>
      <c r="E389" s="314"/>
      <c r="F389" s="314"/>
      <c r="G389" s="314"/>
      <c r="H389" s="304"/>
      <c r="I389" s="314"/>
      <c r="J389" s="314"/>
      <c r="K389" s="314"/>
      <c r="L389" s="314"/>
      <c r="M389" s="304"/>
      <c r="N389" s="314"/>
      <c r="O389" s="314"/>
      <c r="P389" s="314"/>
      <c r="Q389" s="314"/>
      <c r="R389" s="304"/>
      <c r="S389" s="314"/>
      <c r="T389" s="314"/>
      <c r="U389" s="314"/>
      <c r="V389" s="314"/>
      <c r="W389" s="304"/>
      <c r="X389" s="314"/>
      <c r="Y389" s="314"/>
      <c r="Z389" s="314"/>
      <c r="AA389" s="314"/>
      <c r="AB389" s="254"/>
    </row>
    <row r="390" spans="1:29" s="203" customFormat="1" ht="27" customHeight="1" thickTop="1" x14ac:dyDescent="0.2">
      <c r="A390" s="476"/>
      <c r="B390" s="269"/>
      <c r="C390" s="269"/>
      <c r="D390" s="850" t="s">
        <v>109</v>
      </c>
      <c r="E390" s="850"/>
      <c r="F390" s="850"/>
      <c r="G390" s="850"/>
      <c r="H390" s="850"/>
      <c r="I390" s="850"/>
      <c r="J390" s="850"/>
      <c r="K390" s="850"/>
      <c r="L390" s="850"/>
      <c r="M390" s="850"/>
      <c r="N390" s="850"/>
      <c r="O390" s="850"/>
      <c r="P390" s="850"/>
      <c r="Q390" s="850"/>
      <c r="R390" s="850"/>
      <c r="S390" s="850"/>
      <c r="T390" s="850"/>
      <c r="U390" s="850"/>
      <c r="V390" s="850"/>
      <c r="W390" s="850"/>
      <c r="X390" s="850"/>
      <c r="Y390" s="850"/>
      <c r="Z390" s="850"/>
      <c r="AA390" s="850"/>
      <c r="AB390" s="269"/>
      <c r="AC390" s="425"/>
    </row>
    <row r="391" spans="1:29" s="202" customFormat="1" ht="20.65" customHeight="1" x14ac:dyDescent="0.3">
      <c r="A391" s="475"/>
      <c r="B391" s="261"/>
      <c r="C391" s="261"/>
      <c r="D391" s="339"/>
      <c r="E391" s="339"/>
      <c r="F391" s="339"/>
      <c r="G391" s="339"/>
      <c r="H391" s="339"/>
      <c r="I391" s="339"/>
      <c r="J391" s="339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  <c r="AA391" s="339"/>
      <c r="AB391" s="261"/>
      <c r="AC391" s="424"/>
    </row>
    <row r="392" spans="1:29" ht="14.25" x14ac:dyDescent="0.2">
      <c r="A392" s="462"/>
      <c r="B392" s="1151" t="s">
        <v>237</v>
      </c>
      <c r="C392" s="265"/>
      <c r="D392" s="788"/>
      <c r="E392" s="789"/>
      <c r="F392" s="789"/>
      <c r="G392" s="790"/>
      <c r="H392" s="293"/>
      <c r="I392" s="788"/>
      <c r="J392" s="789"/>
      <c r="K392" s="789"/>
      <c r="L392" s="790"/>
      <c r="M392" s="293"/>
      <c r="N392" s="803"/>
      <c r="O392" s="804"/>
      <c r="P392" s="804"/>
      <c r="Q392" s="805"/>
      <c r="R392" s="293"/>
      <c r="S392" s="788"/>
      <c r="T392" s="789"/>
      <c r="U392" s="789"/>
      <c r="V392" s="790"/>
      <c r="W392" s="293"/>
      <c r="X392" s="788"/>
      <c r="Y392" s="789"/>
      <c r="Z392" s="789"/>
      <c r="AA392" s="790"/>
      <c r="AB392" s="254"/>
    </row>
    <row r="393" spans="1:29" ht="14.25" x14ac:dyDescent="0.2">
      <c r="A393" s="462"/>
      <c r="B393" s="1151"/>
      <c r="C393" s="265"/>
      <c r="D393" s="791"/>
      <c r="E393" s="792"/>
      <c r="F393" s="792"/>
      <c r="G393" s="793"/>
      <c r="H393" s="293"/>
      <c r="I393" s="791"/>
      <c r="J393" s="792"/>
      <c r="K393" s="792"/>
      <c r="L393" s="793"/>
      <c r="M393" s="293"/>
      <c r="N393" s="774"/>
      <c r="O393" s="775"/>
      <c r="P393" s="775"/>
      <c r="Q393" s="776"/>
      <c r="R393" s="293"/>
      <c r="S393" s="791"/>
      <c r="T393" s="792"/>
      <c r="U393" s="792"/>
      <c r="V393" s="793"/>
      <c r="W393" s="293"/>
      <c r="X393" s="791"/>
      <c r="Y393" s="792"/>
      <c r="Z393" s="792"/>
      <c r="AA393" s="793"/>
      <c r="AB393" s="254"/>
    </row>
    <row r="394" spans="1:29" ht="14.25" x14ac:dyDescent="0.2">
      <c r="A394" s="462"/>
      <c r="B394" s="1151"/>
      <c r="C394" s="265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334"/>
      <c r="O394" s="335"/>
      <c r="P394" s="335"/>
      <c r="Q394" s="336"/>
      <c r="R394" s="293"/>
      <c r="S394" s="628"/>
      <c r="T394" s="629"/>
      <c r="U394" s="629"/>
      <c r="V394" s="630"/>
      <c r="W394" s="293"/>
      <c r="X394" s="722"/>
      <c r="Y394" s="723"/>
      <c r="Z394" s="723"/>
      <c r="AA394" s="724"/>
      <c r="AB394" s="254"/>
    </row>
    <row r="395" spans="1:29" ht="14.25" x14ac:dyDescent="0.2">
      <c r="A395" s="462"/>
      <c r="B395" s="1151"/>
      <c r="C395" s="265"/>
      <c r="D395" s="791"/>
      <c r="E395" s="792"/>
      <c r="F395" s="792"/>
      <c r="G395" s="793"/>
      <c r="H395" s="293"/>
      <c r="I395" s="791"/>
      <c r="J395" s="792"/>
      <c r="K395" s="792"/>
      <c r="L395" s="793"/>
      <c r="M395" s="293"/>
      <c r="N395" s="774"/>
      <c r="O395" s="775"/>
      <c r="P395" s="775"/>
      <c r="Q395" s="776"/>
      <c r="R395" s="293"/>
      <c r="S395" s="791"/>
      <c r="T395" s="792"/>
      <c r="U395" s="792"/>
      <c r="V395" s="793"/>
      <c r="W395" s="293"/>
      <c r="X395" s="791"/>
      <c r="Y395" s="792"/>
      <c r="Z395" s="792"/>
      <c r="AA395" s="793"/>
      <c r="AB395" s="254"/>
    </row>
    <row r="396" spans="1:29" ht="14.25" x14ac:dyDescent="0.2">
      <c r="A396" s="462"/>
      <c r="B396" s="1151"/>
      <c r="C396" s="265"/>
      <c r="D396" s="791"/>
      <c r="E396" s="792"/>
      <c r="F396" s="792"/>
      <c r="G396" s="793"/>
      <c r="H396" s="293"/>
      <c r="I396" s="791"/>
      <c r="J396" s="792"/>
      <c r="K396" s="792"/>
      <c r="L396" s="793"/>
      <c r="M396" s="293"/>
      <c r="N396" s="774"/>
      <c r="O396" s="775"/>
      <c r="P396" s="775"/>
      <c r="Q396" s="776"/>
      <c r="R396" s="293"/>
      <c r="S396" s="791"/>
      <c r="T396" s="792"/>
      <c r="U396" s="792"/>
      <c r="V396" s="793"/>
      <c r="W396" s="293"/>
      <c r="X396" s="791"/>
      <c r="Y396" s="792"/>
      <c r="Z396" s="792"/>
      <c r="AA396" s="793"/>
      <c r="AB396" s="254"/>
    </row>
    <row r="397" spans="1:29" ht="14.25" x14ac:dyDescent="0.2">
      <c r="A397" s="462"/>
      <c r="B397" s="1151"/>
      <c r="C397" s="265"/>
      <c r="D397" s="791"/>
      <c r="E397" s="792"/>
      <c r="F397" s="792"/>
      <c r="G397" s="793"/>
      <c r="H397" s="293"/>
      <c r="I397" s="791"/>
      <c r="J397" s="792"/>
      <c r="K397" s="792"/>
      <c r="L397" s="793"/>
      <c r="M397" s="293"/>
      <c r="N397" s="774"/>
      <c r="O397" s="775"/>
      <c r="P397" s="775"/>
      <c r="Q397" s="776"/>
      <c r="R397" s="293"/>
      <c r="S397" s="791"/>
      <c r="T397" s="792"/>
      <c r="U397" s="792"/>
      <c r="V397" s="793"/>
      <c r="W397" s="293"/>
      <c r="X397" s="791"/>
      <c r="Y397" s="792"/>
      <c r="Z397" s="792"/>
      <c r="AA397" s="793"/>
      <c r="AB397" s="254"/>
    </row>
    <row r="398" spans="1:29" ht="15" x14ac:dyDescent="0.25">
      <c r="A398" s="462"/>
      <c r="B398" s="1151"/>
      <c r="C398" s="265"/>
      <c r="D398" s="800" t="s">
        <v>229</v>
      </c>
      <c r="E398" s="801"/>
      <c r="F398" s="801"/>
      <c r="G398" s="802"/>
      <c r="H398" s="293"/>
      <c r="I398" s="800" t="s">
        <v>214</v>
      </c>
      <c r="J398" s="801"/>
      <c r="K398" s="801"/>
      <c r="L398" s="802"/>
      <c r="M398" s="293"/>
      <c r="N398" s="800" t="s">
        <v>231</v>
      </c>
      <c r="O398" s="801"/>
      <c r="P398" s="801"/>
      <c r="Q398" s="802"/>
      <c r="R398" s="293"/>
      <c r="S398" s="800" t="s">
        <v>560</v>
      </c>
      <c r="T398" s="801"/>
      <c r="U398" s="801"/>
      <c r="V398" s="802"/>
      <c r="W398" s="293"/>
      <c r="X398" s="800" t="s">
        <v>862</v>
      </c>
      <c r="Y398" s="801"/>
      <c r="Z398" s="801"/>
      <c r="AA398" s="802"/>
      <c r="AB398" s="254"/>
    </row>
    <row r="399" spans="1:29" s="204" customFormat="1" ht="27" customHeight="1" x14ac:dyDescent="0.2">
      <c r="A399" s="477"/>
      <c r="B399" s="1151"/>
      <c r="C399" s="265"/>
      <c r="D399" s="766" t="s">
        <v>607</v>
      </c>
      <c r="E399" s="767"/>
      <c r="F399" s="768"/>
      <c r="G399" s="769"/>
      <c r="H399" s="308"/>
      <c r="I399" s="766" t="s">
        <v>608</v>
      </c>
      <c r="J399" s="767"/>
      <c r="K399" s="768"/>
      <c r="L399" s="769"/>
      <c r="M399" s="308"/>
      <c r="N399" s="766" t="s">
        <v>609</v>
      </c>
      <c r="O399" s="767"/>
      <c r="P399" s="768"/>
      <c r="Q399" s="769"/>
      <c r="R399" s="308"/>
      <c r="S399" s="766" t="s">
        <v>610</v>
      </c>
      <c r="T399" s="767"/>
      <c r="U399" s="768"/>
      <c r="V399" s="769"/>
      <c r="W399" s="308"/>
      <c r="X399" s="766" t="s">
        <v>921</v>
      </c>
      <c r="Y399" s="767"/>
      <c r="Z399" s="768"/>
      <c r="AA399" s="769"/>
      <c r="AB399" s="262"/>
      <c r="AC399" s="426"/>
    </row>
    <row r="400" spans="1:29" s="193" customFormat="1" ht="16.149999999999999" customHeight="1" x14ac:dyDescent="0.25">
      <c r="A400" s="465"/>
      <c r="B400" s="1151"/>
      <c r="C400" s="265"/>
      <c r="D400" s="864">
        <v>7.0000000000000007E-2</v>
      </c>
      <c r="E400" s="865"/>
      <c r="F400" s="885">
        <v>140</v>
      </c>
      <c r="G400" s="886"/>
      <c r="H400" s="293"/>
      <c r="I400" s="864">
        <v>0.06</v>
      </c>
      <c r="J400" s="865"/>
      <c r="K400" s="885">
        <v>140</v>
      </c>
      <c r="L400" s="886"/>
      <c r="M400" s="293"/>
      <c r="N400" s="864">
        <v>7.0000000000000007E-2</v>
      </c>
      <c r="O400" s="865"/>
      <c r="P400" s="885">
        <v>0</v>
      </c>
      <c r="Q400" s="886"/>
      <c r="R400" s="293"/>
      <c r="S400" s="864">
        <v>0.1</v>
      </c>
      <c r="T400" s="865"/>
      <c r="U400" s="885">
        <v>0</v>
      </c>
      <c r="V400" s="886"/>
      <c r="W400" s="293"/>
      <c r="X400" s="864">
        <v>4.25</v>
      </c>
      <c r="Y400" s="865"/>
      <c r="Z400" s="885">
        <v>0</v>
      </c>
      <c r="AA400" s="886"/>
      <c r="AB400" s="254"/>
      <c r="AC400" s="395"/>
    </row>
    <row r="401" spans="1:29" s="486" customFormat="1" ht="16.149999999999999" customHeight="1" x14ac:dyDescent="0.2">
      <c r="A401" s="482"/>
      <c r="B401" s="1151"/>
      <c r="C401" s="265"/>
      <c r="D401" s="611">
        <f>D400*G401</f>
        <v>14.000000000000002</v>
      </c>
      <c r="E401" s="564"/>
      <c r="F401" s="561" t="s">
        <v>291</v>
      </c>
      <c r="G401" s="565">
        <v>200</v>
      </c>
      <c r="H401" s="563"/>
      <c r="I401" s="611">
        <f>I400*L401</f>
        <v>12</v>
      </c>
      <c r="J401" s="564"/>
      <c r="K401" s="561" t="s">
        <v>291</v>
      </c>
      <c r="L401" s="565">
        <v>200</v>
      </c>
      <c r="M401" s="563"/>
      <c r="N401" s="611">
        <f>N400*Q401</f>
        <v>14.000000000000002</v>
      </c>
      <c r="O401" s="564"/>
      <c r="P401" s="561" t="s">
        <v>291</v>
      </c>
      <c r="Q401" s="565">
        <v>200</v>
      </c>
      <c r="R401" s="563"/>
      <c r="S401" s="611">
        <f>S400*V401</f>
        <v>20</v>
      </c>
      <c r="T401" s="564"/>
      <c r="U401" s="561" t="s">
        <v>291</v>
      </c>
      <c r="V401" s="565">
        <v>200</v>
      </c>
      <c r="W401" s="563"/>
      <c r="X401" s="611">
        <v>4.25</v>
      </c>
      <c r="Y401" s="564"/>
      <c r="Z401" s="561" t="s">
        <v>291</v>
      </c>
      <c r="AA401" s="565">
        <v>500</v>
      </c>
      <c r="AB401" s="483"/>
      <c r="AC401" s="485"/>
    </row>
    <row r="402" spans="1:29" ht="14.25" x14ac:dyDescent="0.2">
      <c r="A402" s="462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4.25" x14ac:dyDescent="0.2">
      <c r="A403" s="462"/>
      <c r="B403" s="1151" t="s">
        <v>458</v>
      </c>
      <c r="C403" s="266"/>
      <c r="D403" s="788"/>
      <c r="E403" s="789"/>
      <c r="F403" s="789"/>
      <c r="G403" s="790"/>
      <c r="H403" s="293"/>
      <c r="I403" s="788"/>
      <c r="J403" s="789"/>
      <c r="K403" s="789"/>
      <c r="L403" s="790"/>
      <c r="M403" s="293"/>
      <c r="N403" s="803"/>
      <c r="O403" s="804"/>
      <c r="P403" s="804"/>
      <c r="Q403" s="805"/>
      <c r="R403" s="293"/>
      <c r="S403" s="788"/>
      <c r="T403" s="789"/>
      <c r="U403" s="789"/>
      <c r="V403" s="790"/>
      <c r="W403" s="293"/>
      <c r="X403" s="323"/>
      <c r="Y403" s="324"/>
      <c r="Z403" s="325"/>
      <c r="AA403" s="326"/>
      <c r="AB403" s="254"/>
    </row>
    <row r="404" spans="1:29" ht="14.25" x14ac:dyDescent="0.2">
      <c r="A404" s="462"/>
      <c r="B404" s="1151"/>
      <c r="C404" s="266"/>
      <c r="D404" s="791"/>
      <c r="E404" s="792"/>
      <c r="F404" s="792"/>
      <c r="G404" s="793"/>
      <c r="H404" s="293"/>
      <c r="I404" s="791"/>
      <c r="J404" s="792"/>
      <c r="K404" s="792"/>
      <c r="L404" s="793"/>
      <c r="M404" s="293"/>
      <c r="N404" s="854"/>
      <c r="O404" s="855"/>
      <c r="P404" s="855"/>
      <c r="Q404" s="856"/>
      <c r="R404" s="293"/>
      <c r="S404" s="791"/>
      <c r="T404" s="792"/>
      <c r="U404" s="792"/>
      <c r="V404" s="793"/>
      <c r="W404" s="293"/>
      <c r="X404" s="323"/>
      <c r="Y404" s="324"/>
      <c r="Z404" s="325"/>
      <c r="AA404" s="326"/>
      <c r="AB404" s="254"/>
    </row>
    <row r="405" spans="1:29" ht="14.25" x14ac:dyDescent="0.2">
      <c r="A405" s="462"/>
      <c r="B405" s="1151"/>
      <c r="C405" s="266"/>
      <c r="D405" s="316"/>
      <c r="E405" s="317"/>
      <c r="F405" s="317"/>
      <c r="G405" s="318"/>
      <c r="H405" s="293"/>
      <c r="I405" s="316"/>
      <c r="J405" s="317"/>
      <c r="K405" s="317"/>
      <c r="L405" s="318"/>
      <c r="M405" s="293"/>
      <c r="N405" s="854"/>
      <c r="O405" s="855"/>
      <c r="P405" s="855"/>
      <c r="Q405" s="856"/>
      <c r="R405" s="293"/>
      <c r="S405" s="628"/>
      <c r="T405" s="629"/>
      <c r="U405" s="629"/>
      <c r="V405" s="630"/>
      <c r="W405" s="293"/>
      <c r="X405" s="323"/>
      <c r="Y405" s="324"/>
      <c r="Z405" s="325"/>
      <c r="AA405" s="326"/>
      <c r="AB405" s="254"/>
    </row>
    <row r="406" spans="1:29" ht="14.25" x14ac:dyDescent="0.2">
      <c r="A406" s="462"/>
      <c r="B406" s="1151"/>
      <c r="C406" s="266"/>
      <c r="D406" s="791"/>
      <c r="E406" s="792"/>
      <c r="F406" s="792"/>
      <c r="G406" s="793"/>
      <c r="H406" s="293"/>
      <c r="I406" s="791"/>
      <c r="J406" s="792"/>
      <c r="K406" s="792"/>
      <c r="L406" s="793"/>
      <c r="M406" s="293"/>
      <c r="N406" s="854"/>
      <c r="O406" s="855"/>
      <c r="P406" s="855"/>
      <c r="Q406" s="856"/>
      <c r="R406" s="293"/>
      <c r="S406" s="791"/>
      <c r="T406" s="792"/>
      <c r="U406" s="792"/>
      <c r="V406" s="793"/>
      <c r="W406" s="293"/>
      <c r="X406" s="323"/>
      <c r="Y406" s="324"/>
      <c r="Z406" s="325"/>
      <c r="AA406" s="326"/>
      <c r="AB406" s="254"/>
    </row>
    <row r="407" spans="1:29" ht="14.25" x14ac:dyDescent="0.2">
      <c r="A407" s="462"/>
      <c r="B407" s="1151"/>
      <c r="C407" s="266"/>
      <c r="D407" s="791"/>
      <c r="E407" s="792"/>
      <c r="F407" s="792"/>
      <c r="G407" s="793"/>
      <c r="H407" s="293"/>
      <c r="I407" s="791"/>
      <c r="J407" s="792"/>
      <c r="K407" s="792"/>
      <c r="L407" s="793"/>
      <c r="M407" s="293"/>
      <c r="N407" s="854"/>
      <c r="O407" s="855"/>
      <c r="P407" s="855"/>
      <c r="Q407" s="856"/>
      <c r="R407" s="293"/>
      <c r="S407" s="791"/>
      <c r="T407" s="792"/>
      <c r="U407" s="792"/>
      <c r="V407" s="793"/>
      <c r="W407" s="293"/>
      <c r="X407" s="323"/>
      <c r="Y407" s="324"/>
      <c r="Z407" s="325"/>
      <c r="AA407" s="326"/>
      <c r="AB407" s="254"/>
    </row>
    <row r="408" spans="1:29" ht="14.25" x14ac:dyDescent="0.2">
      <c r="A408" s="462"/>
      <c r="B408" s="1151"/>
      <c r="C408" s="266"/>
      <c r="D408" s="794"/>
      <c r="E408" s="795"/>
      <c r="F408" s="795"/>
      <c r="G408" s="796"/>
      <c r="H408" s="293"/>
      <c r="I408" s="794"/>
      <c r="J408" s="795"/>
      <c r="K408" s="795"/>
      <c r="L408" s="796"/>
      <c r="M408" s="293"/>
      <c r="N408" s="972"/>
      <c r="O408" s="973"/>
      <c r="P408" s="973"/>
      <c r="Q408" s="974"/>
      <c r="R408" s="293"/>
      <c r="S408" s="794"/>
      <c r="T408" s="795"/>
      <c r="U408" s="795"/>
      <c r="V408" s="796"/>
      <c r="W408" s="293"/>
      <c r="X408" s="323"/>
      <c r="Y408" s="324"/>
      <c r="Z408" s="325"/>
      <c r="AA408" s="326"/>
      <c r="AB408" s="254"/>
    </row>
    <row r="409" spans="1:29" ht="15" x14ac:dyDescent="0.25">
      <c r="A409" s="462"/>
      <c r="B409" s="1151"/>
      <c r="C409" s="266"/>
      <c r="D409" s="800" t="s">
        <v>289</v>
      </c>
      <c r="E409" s="801"/>
      <c r="F409" s="801"/>
      <c r="G409" s="802"/>
      <c r="H409" s="293"/>
      <c r="I409" s="800" t="s">
        <v>290</v>
      </c>
      <c r="J409" s="801"/>
      <c r="K409" s="801"/>
      <c r="L409" s="802"/>
      <c r="M409" s="293"/>
      <c r="N409" s="800" t="s">
        <v>459</v>
      </c>
      <c r="O409" s="801"/>
      <c r="P409" s="801"/>
      <c r="Q409" s="802"/>
      <c r="R409" s="293"/>
      <c r="S409" s="800" t="s">
        <v>561</v>
      </c>
      <c r="T409" s="801"/>
      <c r="U409" s="801"/>
      <c r="V409" s="802"/>
      <c r="W409" s="293"/>
      <c r="X409" s="323"/>
      <c r="Y409" s="324"/>
      <c r="Z409" s="325"/>
      <c r="AA409" s="326"/>
      <c r="AB409" s="254"/>
    </row>
    <row r="410" spans="1:29" ht="27" customHeight="1" x14ac:dyDescent="0.2">
      <c r="A410" s="462"/>
      <c r="B410" s="1151"/>
      <c r="C410" s="266"/>
      <c r="D410" s="766" t="s">
        <v>607</v>
      </c>
      <c r="E410" s="767"/>
      <c r="F410" s="768"/>
      <c r="G410" s="769"/>
      <c r="H410" s="308"/>
      <c r="I410" s="766" t="s">
        <v>608</v>
      </c>
      <c r="J410" s="767"/>
      <c r="K410" s="768"/>
      <c r="L410" s="769"/>
      <c r="M410" s="293"/>
      <c r="N410" s="766" t="s">
        <v>609</v>
      </c>
      <c r="O410" s="767"/>
      <c r="P410" s="768"/>
      <c r="Q410" s="769"/>
      <c r="R410" s="293"/>
      <c r="S410" s="766" t="s">
        <v>610</v>
      </c>
      <c r="T410" s="767"/>
      <c r="U410" s="768"/>
      <c r="V410" s="769"/>
      <c r="W410" s="293"/>
      <c r="X410" s="323"/>
      <c r="Y410" s="324"/>
      <c r="Z410" s="325"/>
      <c r="AA410" s="326"/>
      <c r="AB410" s="254"/>
    </row>
    <row r="411" spans="1:29" ht="16.149999999999999" customHeight="1" x14ac:dyDescent="0.25">
      <c r="A411" s="462"/>
      <c r="B411" s="1151"/>
      <c r="C411" s="266"/>
      <c r="D411" s="864">
        <v>7.0000000000000007E-2</v>
      </c>
      <c r="E411" s="865"/>
      <c r="F411" s="885">
        <v>0</v>
      </c>
      <c r="G411" s="886"/>
      <c r="H411" s="293"/>
      <c r="I411" s="864">
        <v>0.06</v>
      </c>
      <c r="J411" s="865"/>
      <c r="K411" s="885">
        <v>0</v>
      </c>
      <c r="L411" s="886"/>
      <c r="M411" s="293"/>
      <c r="N411" s="864">
        <v>7.0000000000000007E-2</v>
      </c>
      <c r="O411" s="865"/>
      <c r="P411" s="885">
        <v>0</v>
      </c>
      <c r="Q411" s="886"/>
      <c r="R411" s="293"/>
      <c r="S411" s="864">
        <v>0.1</v>
      </c>
      <c r="T411" s="865"/>
      <c r="U411" s="885">
        <v>0</v>
      </c>
      <c r="V411" s="886"/>
      <c r="W411" s="293"/>
      <c r="X411" s="323"/>
      <c r="Y411" s="324"/>
      <c r="Z411" s="325"/>
      <c r="AA411" s="326"/>
      <c r="AB411" s="254"/>
    </row>
    <row r="412" spans="1:29" s="486" customFormat="1" ht="16.149999999999999" customHeight="1" x14ac:dyDescent="0.2">
      <c r="A412" s="482"/>
      <c r="B412" s="1151"/>
      <c r="C412" s="266"/>
      <c r="D412" s="611">
        <f>D411*G412</f>
        <v>14.000000000000002</v>
      </c>
      <c r="E412" s="564"/>
      <c r="F412" s="561" t="s">
        <v>291</v>
      </c>
      <c r="G412" s="565">
        <v>200</v>
      </c>
      <c r="H412" s="563"/>
      <c r="I412" s="611">
        <f>I411*L412</f>
        <v>12</v>
      </c>
      <c r="J412" s="564"/>
      <c r="K412" s="561" t="s">
        <v>291</v>
      </c>
      <c r="L412" s="565">
        <v>200</v>
      </c>
      <c r="M412" s="563"/>
      <c r="N412" s="611">
        <f>N411*Q412</f>
        <v>14.000000000000002</v>
      </c>
      <c r="O412" s="564"/>
      <c r="P412" s="561" t="s">
        <v>291</v>
      </c>
      <c r="Q412" s="565">
        <v>200</v>
      </c>
      <c r="R412" s="563"/>
      <c r="S412" s="611">
        <f>S411*V412</f>
        <v>20</v>
      </c>
      <c r="T412" s="564"/>
      <c r="U412" s="561" t="s">
        <v>291</v>
      </c>
      <c r="V412" s="565">
        <v>200</v>
      </c>
      <c r="W412" s="563"/>
      <c r="X412" s="566"/>
      <c r="Y412" s="567"/>
      <c r="Z412" s="568"/>
      <c r="AA412" s="569"/>
      <c r="AB412" s="483"/>
      <c r="AC412" s="485"/>
    </row>
    <row r="413" spans="1:29" ht="14.25" x14ac:dyDescent="0.2">
      <c r="A413" s="462"/>
      <c r="B413" s="265"/>
      <c r="C413" s="265"/>
      <c r="D413" s="323"/>
      <c r="E413" s="324"/>
      <c r="F413" s="325"/>
      <c r="G413" s="326"/>
      <c r="H413" s="293"/>
      <c r="I413" s="323"/>
      <c r="J413" s="324"/>
      <c r="K413" s="325"/>
      <c r="L413" s="326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4.25" x14ac:dyDescent="0.2">
      <c r="A414" s="462"/>
      <c r="B414" s="254"/>
      <c r="C414" s="254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54"/>
    </row>
    <row r="415" spans="1:29" ht="13.15" customHeight="1" x14ac:dyDescent="0.2">
      <c r="A415" s="462"/>
      <c r="B415" s="1151" t="s">
        <v>238</v>
      </c>
      <c r="C415" s="265"/>
      <c r="D415" s="340"/>
      <c r="E415" s="341"/>
      <c r="F415" s="341"/>
      <c r="G415" s="342"/>
      <c r="H415" s="293"/>
      <c r="I415" s="788"/>
      <c r="J415" s="789"/>
      <c r="K415" s="789"/>
      <c r="L415" s="790"/>
      <c r="M415" s="293"/>
      <c r="N415" s="788"/>
      <c r="O415" s="789"/>
      <c r="P415" s="789"/>
      <c r="Q415" s="789"/>
      <c r="R415" s="343"/>
      <c r="S415" s="789"/>
      <c r="T415" s="789"/>
      <c r="U415" s="789"/>
      <c r="V415" s="790"/>
      <c r="W415" s="293"/>
      <c r="X415" s="814"/>
      <c r="Y415" s="814"/>
      <c r="Z415" s="814"/>
      <c r="AA415" s="814"/>
      <c r="AB415" s="254"/>
    </row>
    <row r="416" spans="1:29" ht="13.15" customHeight="1" x14ac:dyDescent="0.2">
      <c r="A416" s="462"/>
      <c r="B416" s="1151"/>
      <c r="C416" s="265"/>
      <c r="D416" s="316"/>
      <c r="E416" s="317"/>
      <c r="F416" s="317"/>
      <c r="G416" s="318"/>
      <c r="H416" s="293"/>
      <c r="I416" s="791"/>
      <c r="J416" s="792"/>
      <c r="K416" s="792"/>
      <c r="L416" s="793"/>
      <c r="M416" s="293"/>
      <c r="N416" s="791"/>
      <c r="O416" s="792"/>
      <c r="P416" s="792"/>
      <c r="Q416" s="792"/>
      <c r="R416" s="343"/>
      <c r="S416" s="792"/>
      <c r="T416" s="792"/>
      <c r="U416" s="792"/>
      <c r="V416" s="793"/>
      <c r="W416" s="293"/>
      <c r="X416" s="814"/>
      <c r="Y416" s="814"/>
      <c r="Z416" s="814"/>
      <c r="AA416" s="814"/>
      <c r="AB416" s="254"/>
    </row>
    <row r="417" spans="1:31" ht="13.15" customHeight="1" x14ac:dyDescent="0.2">
      <c r="A417" s="462"/>
      <c r="B417" s="1151"/>
      <c r="C417" s="265"/>
      <c r="D417" s="316"/>
      <c r="E417" s="317"/>
      <c r="F417" s="317"/>
      <c r="G417" s="318"/>
      <c r="H417" s="293"/>
      <c r="I417" s="316"/>
      <c r="J417" s="317"/>
      <c r="K417" s="317"/>
      <c r="L417" s="318"/>
      <c r="M417" s="293"/>
      <c r="N417" s="316"/>
      <c r="O417" s="317"/>
      <c r="P417" s="317"/>
      <c r="Q417" s="317"/>
      <c r="R417" s="343"/>
      <c r="S417" s="317"/>
      <c r="T417" s="317"/>
      <c r="U417" s="317"/>
      <c r="V417" s="318"/>
      <c r="W417" s="293"/>
      <c r="X417" s="322"/>
      <c r="Y417" s="322"/>
      <c r="Z417" s="322"/>
      <c r="AA417" s="322"/>
      <c r="AB417" s="254"/>
    </row>
    <row r="418" spans="1:31" ht="13.15" customHeight="1" x14ac:dyDescent="0.2">
      <c r="A418" s="462"/>
      <c r="B418" s="1151"/>
      <c r="C418" s="265"/>
      <c r="D418" s="316"/>
      <c r="E418" s="317"/>
      <c r="F418" s="317"/>
      <c r="G418" s="318"/>
      <c r="H418" s="293"/>
      <c r="I418" s="791"/>
      <c r="J418" s="792"/>
      <c r="K418" s="792"/>
      <c r="L418" s="793"/>
      <c r="M418" s="293"/>
      <c r="N418" s="791"/>
      <c r="O418" s="792"/>
      <c r="P418" s="792"/>
      <c r="Q418" s="792"/>
      <c r="R418" s="343"/>
      <c r="S418" s="792"/>
      <c r="T418" s="792"/>
      <c r="U418" s="792"/>
      <c r="V418" s="793"/>
      <c r="W418" s="293"/>
      <c r="X418" s="814"/>
      <c r="Y418" s="814"/>
      <c r="Z418" s="814"/>
      <c r="AA418" s="814"/>
      <c r="AB418" s="254"/>
    </row>
    <row r="419" spans="1:31" ht="13.15" customHeight="1" x14ac:dyDescent="0.2">
      <c r="A419" s="462"/>
      <c r="B419" s="1151"/>
      <c r="C419" s="265"/>
      <c r="D419" s="316"/>
      <c r="E419" s="317"/>
      <c r="F419" s="317"/>
      <c r="G419" s="318"/>
      <c r="H419" s="293"/>
      <c r="I419" s="791"/>
      <c r="J419" s="792"/>
      <c r="K419" s="792"/>
      <c r="L419" s="793"/>
      <c r="M419" s="293"/>
      <c r="N419" s="791"/>
      <c r="O419" s="792"/>
      <c r="P419" s="792"/>
      <c r="Q419" s="792"/>
      <c r="R419" s="343"/>
      <c r="S419" s="792"/>
      <c r="T419" s="792"/>
      <c r="U419" s="792"/>
      <c r="V419" s="793"/>
      <c r="W419" s="293"/>
      <c r="X419" s="814"/>
      <c r="Y419" s="814"/>
      <c r="Z419" s="814"/>
      <c r="AA419" s="814"/>
      <c r="AB419" s="254"/>
    </row>
    <row r="420" spans="1:31" ht="13.15" customHeight="1" x14ac:dyDescent="0.2">
      <c r="A420" s="462"/>
      <c r="B420" s="1151"/>
      <c r="C420" s="265"/>
      <c r="D420" s="316"/>
      <c r="E420" s="317"/>
      <c r="F420" s="317"/>
      <c r="G420" s="318"/>
      <c r="H420" s="293"/>
      <c r="I420" s="791"/>
      <c r="J420" s="792"/>
      <c r="K420" s="792"/>
      <c r="L420" s="793"/>
      <c r="M420" s="293"/>
      <c r="N420" s="791"/>
      <c r="O420" s="792"/>
      <c r="P420" s="792"/>
      <c r="Q420" s="792"/>
      <c r="R420" s="343"/>
      <c r="S420" s="792"/>
      <c r="T420" s="792"/>
      <c r="U420" s="792"/>
      <c r="V420" s="793"/>
      <c r="W420" s="293"/>
      <c r="X420" s="814"/>
      <c r="Y420" s="814"/>
      <c r="Z420" s="814"/>
      <c r="AA420" s="814"/>
      <c r="AB420" s="254"/>
    </row>
    <row r="421" spans="1:31" ht="15" x14ac:dyDescent="0.25">
      <c r="A421" s="462"/>
      <c r="B421" s="1151"/>
      <c r="C421" s="265"/>
      <c r="D421" s="800" t="s">
        <v>410</v>
      </c>
      <c r="E421" s="801"/>
      <c r="F421" s="801"/>
      <c r="G421" s="802"/>
      <c r="H421" s="293"/>
      <c r="I421" s="800" t="s">
        <v>954</v>
      </c>
      <c r="J421" s="801"/>
      <c r="K421" s="801"/>
      <c r="L421" s="802"/>
      <c r="M421" s="293"/>
      <c r="N421" s="800" t="s">
        <v>195</v>
      </c>
      <c r="O421" s="801"/>
      <c r="P421" s="801"/>
      <c r="Q421" s="802"/>
      <c r="R421" s="293"/>
      <c r="S421" s="800" t="s">
        <v>411</v>
      </c>
      <c r="T421" s="801"/>
      <c r="U421" s="801"/>
      <c r="V421" s="802"/>
      <c r="W421" s="293"/>
      <c r="X421" s="959"/>
      <c r="Y421" s="959"/>
      <c r="Z421" s="959"/>
      <c r="AA421" s="959"/>
      <c r="AB421" s="254"/>
    </row>
    <row r="422" spans="1:31" s="204" customFormat="1" ht="27" customHeight="1" x14ac:dyDescent="0.2">
      <c r="A422" s="477"/>
      <c r="B422" s="1151"/>
      <c r="C422" s="265"/>
      <c r="D422" s="968" t="s">
        <v>927</v>
      </c>
      <c r="E422" s="969"/>
      <c r="F422" s="970"/>
      <c r="G422" s="971"/>
      <c r="H422" s="308"/>
      <c r="I422" s="968" t="s">
        <v>950</v>
      </c>
      <c r="J422" s="969"/>
      <c r="K422" s="970"/>
      <c r="L422" s="971"/>
      <c r="M422" s="308"/>
      <c r="N422" s="968" t="s">
        <v>928</v>
      </c>
      <c r="O422" s="969"/>
      <c r="P422" s="970"/>
      <c r="Q422" s="971"/>
      <c r="R422" s="308"/>
      <c r="S422" s="766" t="s">
        <v>611</v>
      </c>
      <c r="T422" s="767"/>
      <c r="U422" s="768"/>
      <c r="V422" s="769"/>
      <c r="W422" s="308"/>
      <c r="X422" s="866"/>
      <c r="Y422" s="866"/>
      <c r="Z422" s="866"/>
      <c r="AA422" s="866"/>
      <c r="AB422" s="262"/>
      <c r="AC422" s="426"/>
    </row>
    <row r="423" spans="1:31" s="193" customFormat="1" ht="16.149999999999999" customHeight="1" x14ac:dyDescent="0.25">
      <c r="A423" s="465"/>
      <c r="B423" s="1151"/>
      <c r="C423" s="265"/>
      <c r="D423" s="864">
        <v>0.05</v>
      </c>
      <c r="E423" s="967"/>
      <c r="F423" s="885">
        <v>100</v>
      </c>
      <c r="G423" s="886"/>
      <c r="H423" s="293"/>
      <c r="I423" s="960">
        <v>0.06</v>
      </c>
      <c r="J423" s="961"/>
      <c r="K423" s="885">
        <v>0</v>
      </c>
      <c r="L423" s="886"/>
      <c r="M423" s="293"/>
      <c r="N423" s="864">
        <v>0.04</v>
      </c>
      <c r="O423" s="865"/>
      <c r="P423" s="885">
        <v>0</v>
      </c>
      <c r="Q423" s="886"/>
      <c r="R423" s="293"/>
      <c r="S423" s="864">
        <v>1</v>
      </c>
      <c r="T423" s="865"/>
      <c r="U423" s="885">
        <v>0</v>
      </c>
      <c r="V423" s="886"/>
      <c r="W423" s="293"/>
      <c r="X423" s="817"/>
      <c r="Y423" s="817"/>
      <c r="Z423" s="951"/>
      <c r="AA423" s="951"/>
      <c r="AB423" s="254"/>
      <c r="AC423" s="395"/>
    </row>
    <row r="424" spans="1:31" s="486" customFormat="1" ht="14.25" x14ac:dyDescent="0.2">
      <c r="A424" s="482"/>
      <c r="B424" s="265"/>
      <c r="C424" s="265"/>
      <c r="D424" s="611">
        <f>D423*G424</f>
        <v>5</v>
      </c>
      <c r="E424" s="564"/>
      <c r="F424" s="561" t="s">
        <v>291</v>
      </c>
      <c r="G424" s="565">
        <v>100</v>
      </c>
      <c r="H424" s="570"/>
      <c r="I424" s="611">
        <f>I423*L424</f>
        <v>6</v>
      </c>
      <c r="J424" s="564"/>
      <c r="K424" s="561" t="s">
        <v>291</v>
      </c>
      <c r="L424" s="759">
        <v>100</v>
      </c>
      <c r="M424" s="570"/>
      <c r="N424" s="611">
        <f>N423*Q424</f>
        <v>4</v>
      </c>
      <c r="O424" s="564"/>
      <c r="P424" s="561" t="s">
        <v>291</v>
      </c>
      <c r="Q424" s="565">
        <v>100</v>
      </c>
      <c r="R424" s="563"/>
      <c r="S424" s="611">
        <f>S423*V424</f>
        <v>200</v>
      </c>
      <c r="T424" s="564"/>
      <c r="U424" s="561" t="s">
        <v>291</v>
      </c>
      <c r="V424" s="565">
        <v>200</v>
      </c>
      <c r="W424" s="563"/>
      <c r="X424" s="566"/>
      <c r="Y424" s="567"/>
      <c r="Z424" s="568"/>
      <c r="AA424" s="569"/>
      <c r="AB424" s="483"/>
      <c r="AC424" s="485"/>
    </row>
    <row r="425" spans="1:31" ht="14.25" x14ac:dyDescent="0.2">
      <c r="A425" s="462"/>
      <c r="B425" s="254"/>
      <c r="C425" s="254"/>
      <c r="D425" s="319"/>
      <c r="E425" s="319"/>
      <c r="F425" s="320"/>
      <c r="G425" s="321"/>
      <c r="H425" s="293"/>
      <c r="I425" s="319"/>
      <c r="J425" s="319"/>
      <c r="K425" s="320"/>
      <c r="L425" s="321"/>
      <c r="M425" s="293"/>
      <c r="N425" s="319"/>
      <c r="O425" s="319"/>
      <c r="P425" s="320"/>
      <c r="Q425" s="321"/>
      <c r="R425" s="293"/>
      <c r="S425" s="319"/>
      <c r="T425" s="319"/>
      <c r="U425" s="320"/>
      <c r="V425" s="321"/>
      <c r="W425" s="293"/>
      <c r="X425" s="319"/>
      <c r="Y425" s="319"/>
      <c r="Z425" s="320"/>
      <c r="AA425" s="321"/>
      <c r="AB425" s="254"/>
    </row>
    <row r="426" spans="1:31" ht="12.4" customHeight="1" x14ac:dyDescent="0.2">
      <c r="A426" s="462"/>
      <c r="B426" s="1151" t="s">
        <v>464</v>
      </c>
      <c r="C426" s="265"/>
      <c r="D426" s="803"/>
      <c r="E426" s="804"/>
      <c r="F426" s="804"/>
      <c r="G426" s="805"/>
      <c r="H426" s="293"/>
      <c r="I426" s="803"/>
      <c r="J426" s="804"/>
      <c r="K426" s="804"/>
      <c r="L426" s="805"/>
      <c r="M426" s="293"/>
      <c r="N426" s="788"/>
      <c r="O426" s="789"/>
      <c r="P426" s="789"/>
      <c r="Q426" s="790"/>
      <c r="R426" s="293"/>
      <c r="S426" s="803"/>
      <c r="T426" s="804"/>
      <c r="U426" s="804"/>
      <c r="V426" s="805"/>
      <c r="W426" s="293"/>
      <c r="X426" s="803"/>
      <c r="Y426" s="804"/>
      <c r="Z426" s="804"/>
      <c r="AA426" s="805"/>
      <c r="AB426" s="254"/>
    </row>
    <row r="427" spans="1:31" ht="14.25" x14ac:dyDescent="0.2">
      <c r="A427" s="462"/>
      <c r="B427" s="1151"/>
      <c r="C427" s="265"/>
      <c r="D427" s="774"/>
      <c r="E427" s="775"/>
      <c r="F427" s="775"/>
      <c r="G427" s="776"/>
      <c r="H427" s="293"/>
      <c r="I427" s="774"/>
      <c r="J427" s="775"/>
      <c r="K427" s="775"/>
      <c r="L427" s="776"/>
      <c r="M427" s="293"/>
      <c r="N427" s="791"/>
      <c r="O427" s="792"/>
      <c r="P427" s="792"/>
      <c r="Q427" s="793"/>
      <c r="R427" s="293"/>
      <c r="S427" s="854"/>
      <c r="T427" s="855"/>
      <c r="U427" s="855"/>
      <c r="V427" s="856"/>
      <c r="W427" s="293"/>
      <c r="X427" s="854"/>
      <c r="Y427" s="855"/>
      <c r="Z427" s="855"/>
      <c r="AA427" s="856"/>
      <c r="AB427" s="254"/>
    </row>
    <row r="428" spans="1:31" ht="14.25" x14ac:dyDescent="0.2">
      <c r="A428" s="462"/>
      <c r="B428" s="1151"/>
      <c r="C428" s="265"/>
      <c r="D428" s="334"/>
      <c r="E428" s="335"/>
      <c r="F428" s="335"/>
      <c r="G428" s="336"/>
      <c r="H428" s="293"/>
      <c r="I428" s="334"/>
      <c r="J428" s="335"/>
      <c r="K428" s="335"/>
      <c r="L428" s="336"/>
      <c r="M428" s="293"/>
      <c r="N428" s="316"/>
      <c r="O428" s="317"/>
      <c r="P428" s="317"/>
      <c r="Q428" s="318"/>
      <c r="R428" s="293"/>
      <c r="S428" s="854"/>
      <c r="T428" s="855"/>
      <c r="U428" s="855"/>
      <c r="V428" s="856"/>
      <c r="W428" s="293"/>
      <c r="X428" s="854"/>
      <c r="Y428" s="855"/>
      <c r="Z428" s="855"/>
      <c r="AA428" s="856"/>
      <c r="AB428" s="254"/>
    </row>
    <row r="429" spans="1:31" ht="14.25" x14ac:dyDescent="0.2">
      <c r="A429" s="462"/>
      <c r="B429" s="1151"/>
      <c r="C429" s="265"/>
      <c r="D429" s="774"/>
      <c r="E429" s="775"/>
      <c r="F429" s="775"/>
      <c r="G429" s="776"/>
      <c r="H429" s="293"/>
      <c r="I429" s="774"/>
      <c r="J429" s="775"/>
      <c r="K429" s="775"/>
      <c r="L429" s="776"/>
      <c r="M429" s="293"/>
      <c r="N429" s="791"/>
      <c r="O429" s="792"/>
      <c r="P429" s="792"/>
      <c r="Q429" s="793"/>
      <c r="R429" s="293"/>
      <c r="S429" s="854"/>
      <c r="T429" s="855"/>
      <c r="U429" s="855"/>
      <c r="V429" s="856"/>
      <c r="W429" s="293"/>
      <c r="X429" s="854"/>
      <c r="Y429" s="855"/>
      <c r="Z429" s="855"/>
      <c r="AA429" s="856"/>
      <c r="AB429" s="254"/>
    </row>
    <row r="430" spans="1:31" ht="14.25" x14ac:dyDescent="0.2">
      <c r="A430" s="462"/>
      <c r="B430" s="1151"/>
      <c r="C430" s="265"/>
      <c r="D430" s="774"/>
      <c r="E430" s="775"/>
      <c r="F430" s="775"/>
      <c r="G430" s="776"/>
      <c r="H430" s="293"/>
      <c r="I430" s="774"/>
      <c r="J430" s="775"/>
      <c r="K430" s="775"/>
      <c r="L430" s="776"/>
      <c r="M430" s="293"/>
      <c r="N430" s="791"/>
      <c r="O430" s="792"/>
      <c r="P430" s="792"/>
      <c r="Q430" s="793"/>
      <c r="R430" s="293"/>
      <c r="S430" s="854"/>
      <c r="T430" s="855"/>
      <c r="U430" s="855"/>
      <c r="V430" s="856"/>
      <c r="W430" s="293"/>
      <c r="X430" s="854"/>
      <c r="Y430" s="855"/>
      <c r="Z430" s="855"/>
      <c r="AA430" s="856"/>
      <c r="AB430" s="254"/>
    </row>
    <row r="431" spans="1:31" ht="14.25" x14ac:dyDescent="0.2">
      <c r="A431" s="462"/>
      <c r="B431" s="1151"/>
      <c r="C431" s="265"/>
      <c r="D431" s="777"/>
      <c r="E431" s="778"/>
      <c r="F431" s="778"/>
      <c r="G431" s="779"/>
      <c r="H431" s="293"/>
      <c r="I431" s="777"/>
      <c r="J431" s="778"/>
      <c r="K431" s="778"/>
      <c r="L431" s="779"/>
      <c r="M431" s="293"/>
      <c r="N431" s="794"/>
      <c r="O431" s="795"/>
      <c r="P431" s="795"/>
      <c r="Q431" s="796"/>
      <c r="R431" s="293"/>
      <c r="S431" s="972"/>
      <c r="T431" s="973"/>
      <c r="U431" s="973"/>
      <c r="V431" s="974"/>
      <c r="W431" s="293"/>
      <c r="X431" s="972"/>
      <c r="Y431" s="973"/>
      <c r="Z431" s="973"/>
      <c r="AA431" s="974"/>
      <c r="AB431" s="254"/>
      <c r="AE431" s="189">
        <v>100</v>
      </c>
    </row>
    <row r="432" spans="1:31" ht="15" x14ac:dyDescent="0.25">
      <c r="A432" s="462"/>
      <c r="B432" s="1151"/>
      <c r="C432" s="265"/>
      <c r="D432" s="867" t="s">
        <v>232</v>
      </c>
      <c r="E432" s="868"/>
      <c r="F432" s="868"/>
      <c r="G432" s="869"/>
      <c r="H432" s="293"/>
      <c r="I432" s="867" t="s">
        <v>235</v>
      </c>
      <c r="J432" s="868"/>
      <c r="K432" s="868"/>
      <c r="L432" s="869"/>
      <c r="M432" s="293"/>
      <c r="N432" s="800" t="s">
        <v>377</v>
      </c>
      <c r="O432" s="801"/>
      <c r="P432" s="801"/>
      <c r="Q432" s="802"/>
      <c r="R432" s="293"/>
      <c r="S432" s="800" t="s">
        <v>450</v>
      </c>
      <c r="T432" s="801"/>
      <c r="U432" s="801"/>
      <c r="V432" s="802"/>
      <c r="W432" s="293"/>
      <c r="X432" s="800" t="s">
        <v>449</v>
      </c>
      <c r="Y432" s="801"/>
      <c r="Z432" s="801"/>
      <c r="AA432" s="802"/>
      <c r="AB432" s="254"/>
      <c r="AE432" s="189">
        <v>200</v>
      </c>
    </row>
    <row r="433" spans="1:31" ht="27" customHeight="1" x14ac:dyDescent="0.2">
      <c r="A433" s="462"/>
      <c r="B433" s="1151"/>
      <c r="C433" s="265"/>
      <c r="D433" s="766" t="s">
        <v>612</v>
      </c>
      <c r="E433" s="767"/>
      <c r="F433" s="768"/>
      <c r="G433" s="769"/>
      <c r="H433" s="308"/>
      <c r="I433" s="766" t="s">
        <v>613</v>
      </c>
      <c r="J433" s="767"/>
      <c r="K433" s="768"/>
      <c r="L433" s="769"/>
      <c r="M433" s="308"/>
      <c r="N433" s="766" t="s">
        <v>766</v>
      </c>
      <c r="O433" s="767"/>
      <c r="P433" s="768"/>
      <c r="Q433" s="769"/>
      <c r="R433" s="293"/>
      <c r="S433" s="766" t="s">
        <v>614</v>
      </c>
      <c r="T433" s="767"/>
      <c r="U433" s="768"/>
      <c r="V433" s="769"/>
      <c r="W433" s="293"/>
      <c r="X433" s="766" t="s">
        <v>615</v>
      </c>
      <c r="Y433" s="767"/>
      <c r="Z433" s="768"/>
      <c r="AA433" s="769"/>
      <c r="AB433" s="262"/>
      <c r="AE433" s="189">
        <v>300</v>
      </c>
    </row>
    <row r="434" spans="1:31" ht="16.149999999999999" customHeight="1" x14ac:dyDescent="0.25">
      <c r="A434" s="462"/>
      <c r="B434" s="1151"/>
      <c r="C434" s="265"/>
      <c r="D434" s="807">
        <v>0.8</v>
      </c>
      <c r="E434" s="966"/>
      <c r="F434" s="885">
        <v>0</v>
      </c>
      <c r="G434" s="886"/>
      <c r="H434" s="293"/>
      <c r="I434" s="807">
        <v>0.8</v>
      </c>
      <c r="J434" s="966"/>
      <c r="K434" s="885">
        <v>0</v>
      </c>
      <c r="L434" s="886"/>
      <c r="M434" s="293"/>
      <c r="N434" s="807">
        <v>1</v>
      </c>
      <c r="O434" s="966"/>
      <c r="P434" s="885">
        <v>0</v>
      </c>
      <c r="Q434" s="886"/>
      <c r="R434" s="293"/>
      <c r="S434" s="864">
        <v>18</v>
      </c>
      <c r="T434" s="865"/>
      <c r="U434" s="885">
        <v>0</v>
      </c>
      <c r="V434" s="886"/>
      <c r="W434" s="293"/>
      <c r="X434" s="864">
        <v>18</v>
      </c>
      <c r="Y434" s="865"/>
      <c r="Z434" s="885">
        <v>0</v>
      </c>
      <c r="AA434" s="886"/>
      <c r="AB434" s="254"/>
      <c r="AE434" s="189">
        <v>400</v>
      </c>
    </row>
    <row r="435" spans="1:31" s="486" customFormat="1" ht="16.149999999999999" customHeight="1" x14ac:dyDescent="0.2">
      <c r="A435" s="482"/>
      <c r="B435" s="1151"/>
      <c r="C435" s="265"/>
      <c r="D435" s="611">
        <f>D434*G435</f>
        <v>144</v>
      </c>
      <c r="E435" s="564"/>
      <c r="F435" s="561" t="s">
        <v>291</v>
      </c>
      <c r="G435" s="562">
        <v>180</v>
      </c>
      <c r="H435" s="563"/>
      <c r="I435" s="611">
        <f>I434*L435</f>
        <v>144</v>
      </c>
      <c r="J435" s="564"/>
      <c r="K435" s="561" t="s">
        <v>291</v>
      </c>
      <c r="L435" s="562">
        <v>180</v>
      </c>
      <c r="M435" s="563"/>
      <c r="N435" s="611">
        <f>N434*Q435</f>
        <v>90</v>
      </c>
      <c r="O435" s="564"/>
      <c r="P435" s="561" t="s">
        <v>291</v>
      </c>
      <c r="Q435" s="565">
        <v>90</v>
      </c>
      <c r="R435" s="563"/>
      <c r="S435" s="611">
        <f>S434*V435</f>
        <v>36</v>
      </c>
      <c r="T435" s="564"/>
      <c r="U435" s="561" t="s">
        <v>291</v>
      </c>
      <c r="V435" s="565">
        <v>2</v>
      </c>
      <c r="W435" s="563"/>
      <c r="X435" s="611">
        <f>X434*AA435</f>
        <v>36</v>
      </c>
      <c r="Y435" s="564"/>
      <c r="Z435" s="561" t="s">
        <v>291</v>
      </c>
      <c r="AA435" s="565">
        <v>2</v>
      </c>
      <c r="AB435" s="483"/>
      <c r="AC435" s="485"/>
      <c r="AE435" s="486">
        <v>500</v>
      </c>
    </row>
    <row r="436" spans="1:31" ht="14.25" x14ac:dyDescent="0.2">
      <c r="A436" s="462"/>
      <c r="B436" s="1151"/>
      <c r="C436" s="265"/>
      <c r="D436" s="323"/>
      <c r="E436" s="324"/>
      <c r="F436" s="325"/>
      <c r="G436" s="326"/>
      <c r="H436" s="293"/>
      <c r="I436" s="323"/>
      <c r="J436" s="324"/>
      <c r="K436" s="325"/>
      <c r="L436" s="326"/>
      <c r="M436" s="293"/>
      <c r="N436" s="323"/>
      <c r="O436" s="324"/>
      <c r="P436" s="325"/>
      <c r="Q436" s="326"/>
      <c r="R436" s="293"/>
      <c r="S436" s="323"/>
      <c r="T436" s="324"/>
      <c r="U436" s="325"/>
      <c r="V436" s="326"/>
      <c r="W436" s="293"/>
      <c r="X436" s="323"/>
      <c r="Y436" s="324"/>
      <c r="Z436" s="325"/>
      <c r="AA436" s="326"/>
      <c r="AB436" s="254"/>
      <c r="AE436" s="189">
        <v>600</v>
      </c>
    </row>
    <row r="437" spans="1:31" ht="14.25" x14ac:dyDescent="0.2">
      <c r="A437" s="462"/>
      <c r="B437" s="1151"/>
      <c r="C437" s="265"/>
      <c r="D437" s="788"/>
      <c r="E437" s="789"/>
      <c r="F437" s="789"/>
      <c r="G437" s="790"/>
      <c r="H437" s="293"/>
      <c r="I437" s="788"/>
      <c r="J437" s="789"/>
      <c r="K437" s="789"/>
      <c r="L437" s="790"/>
      <c r="M437" s="293"/>
      <c r="N437" s="788"/>
      <c r="O437" s="789"/>
      <c r="P437" s="789"/>
      <c r="Q437" s="790"/>
      <c r="R437" s="293"/>
      <c r="S437" s="788"/>
      <c r="T437" s="789"/>
      <c r="U437" s="789"/>
      <c r="V437" s="790"/>
      <c r="W437" s="293"/>
      <c r="X437" s="323"/>
      <c r="Y437" s="324"/>
      <c r="Z437" s="325"/>
      <c r="AA437" s="326"/>
      <c r="AB437" s="254"/>
      <c r="AE437" s="189">
        <v>700</v>
      </c>
    </row>
    <row r="438" spans="1:31" ht="14.25" x14ac:dyDescent="0.2">
      <c r="A438" s="462"/>
      <c r="B438" s="1151"/>
      <c r="C438" s="265"/>
      <c r="D438" s="791"/>
      <c r="E438" s="792"/>
      <c r="F438" s="792"/>
      <c r="G438" s="793"/>
      <c r="H438" s="293"/>
      <c r="I438" s="791"/>
      <c r="J438" s="792"/>
      <c r="K438" s="792"/>
      <c r="L438" s="793"/>
      <c r="M438" s="293"/>
      <c r="N438" s="791"/>
      <c r="O438" s="792"/>
      <c r="P438" s="792"/>
      <c r="Q438" s="793"/>
      <c r="R438" s="293"/>
      <c r="S438" s="791"/>
      <c r="T438" s="792"/>
      <c r="U438" s="792"/>
      <c r="V438" s="793"/>
      <c r="W438" s="293"/>
      <c r="X438" s="323"/>
      <c r="Y438" s="324"/>
      <c r="Z438" s="325"/>
      <c r="AA438" s="326"/>
      <c r="AB438" s="254"/>
      <c r="AE438" s="189">
        <v>800</v>
      </c>
    </row>
    <row r="439" spans="1:31" ht="14.25" x14ac:dyDescent="0.2">
      <c r="A439" s="462"/>
      <c r="B439" s="1151"/>
      <c r="C439" s="265"/>
      <c r="D439" s="316"/>
      <c r="E439" s="317"/>
      <c r="F439" s="317"/>
      <c r="G439" s="318"/>
      <c r="H439" s="293"/>
      <c r="I439" s="316"/>
      <c r="J439" s="317"/>
      <c r="K439" s="317"/>
      <c r="L439" s="318"/>
      <c r="M439" s="293"/>
      <c r="N439" s="722"/>
      <c r="O439" s="723"/>
      <c r="P439" s="723"/>
      <c r="Q439" s="724"/>
      <c r="R439" s="293"/>
      <c r="S439" s="722"/>
      <c r="T439" s="723"/>
      <c r="U439" s="723"/>
      <c r="V439" s="724"/>
      <c r="W439" s="293"/>
      <c r="X439" s="323"/>
      <c r="Y439" s="324"/>
      <c r="Z439" s="325"/>
      <c r="AA439" s="326"/>
      <c r="AB439" s="254"/>
      <c r="AE439" s="189">
        <v>900</v>
      </c>
    </row>
    <row r="440" spans="1:31" ht="14.25" x14ac:dyDescent="0.2">
      <c r="A440" s="462"/>
      <c r="B440" s="1151"/>
      <c r="C440" s="265"/>
      <c r="D440" s="791"/>
      <c r="E440" s="792"/>
      <c r="F440" s="792"/>
      <c r="G440" s="793"/>
      <c r="H440" s="293"/>
      <c r="I440" s="791"/>
      <c r="J440" s="792"/>
      <c r="K440" s="792"/>
      <c r="L440" s="793"/>
      <c r="M440" s="293"/>
      <c r="N440" s="791"/>
      <c r="O440" s="792"/>
      <c r="P440" s="792"/>
      <c r="Q440" s="793"/>
      <c r="R440" s="293"/>
      <c r="S440" s="791"/>
      <c r="T440" s="792"/>
      <c r="U440" s="792"/>
      <c r="V440" s="793"/>
      <c r="W440" s="293"/>
      <c r="X440" s="323"/>
      <c r="Y440" s="324"/>
      <c r="Z440" s="325"/>
      <c r="AA440" s="326"/>
      <c r="AB440" s="254"/>
      <c r="AE440" s="189">
        <v>1000</v>
      </c>
    </row>
    <row r="441" spans="1:31" ht="14.25" x14ac:dyDescent="0.2">
      <c r="A441" s="462"/>
      <c r="B441" s="1151"/>
      <c r="C441" s="265"/>
      <c r="D441" s="791"/>
      <c r="E441" s="792"/>
      <c r="F441" s="792"/>
      <c r="G441" s="793"/>
      <c r="H441" s="293"/>
      <c r="I441" s="791"/>
      <c r="J441" s="792"/>
      <c r="K441" s="792"/>
      <c r="L441" s="793"/>
      <c r="M441" s="293"/>
      <c r="N441" s="791"/>
      <c r="O441" s="792"/>
      <c r="P441" s="792"/>
      <c r="Q441" s="793"/>
      <c r="R441" s="293"/>
      <c r="S441" s="791"/>
      <c r="T441" s="792"/>
      <c r="U441" s="792"/>
      <c r="V441" s="793"/>
      <c r="W441" s="293"/>
      <c r="X441" s="323"/>
      <c r="Y441" s="324"/>
      <c r="Z441" s="325"/>
      <c r="AA441" s="326"/>
      <c r="AB441" s="254"/>
    </row>
    <row r="442" spans="1:31" ht="14.25" x14ac:dyDescent="0.2">
      <c r="A442" s="462"/>
      <c r="B442" s="1151"/>
      <c r="C442" s="265"/>
      <c r="D442" s="794"/>
      <c r="E442" s="795"/>
      <c r="F442" s="795"/>
      <c r="G442" s="796"/>
      <c r="H442" s="293"/>
      <c r="I442" s="794"/>
      <c r="J442" s="795"/>
      <c r="K442" s="795"/>
      <c r="L442" s="796"/>
      <c r="M442" s="293"/>
      <c r="N442" s="794"/>
      <c r="O442" s="795"/>
      <c r="P442" s="795"/>
      <c r="Q442" s="796"/>
      <c r="R442" s="293"/>
      <c r="S442" s="794"/>
      <c r="T442" s="795"/>
      <c r="U442" s="795"/>
      <c r="V442" s="796"/>
      <c r="W442" s="293"/>
      <c r="X442" s="323"/>
      <c r="Y442" s="324"/>
      <c r="Z442" s="325"/>
      <c r="AA442" s="326"/>
      <c r="AB442" s="254"/>
    </row>
    <row r="443" spans="1:31" ht="15" x14ac:dyDescent="0.25">
      <c r="A443" s="462"/>
      <c r="B443" s="1151"/>
      <c r="C443" s="265"/>
      <c r="D443" s="800" t="s">
        <v>863</v>
      </c>
      <c r="E443" s="801"/>
      <c r="F443" s="801"/>
      <c r="G443" s="802"/>
      <c r="H443" s="293"/>
      <c r="I443" s="800" t="s">
        <v>864</v>
      </c>
      <c r="J443" s="801"/>
      <c r="K443" s="801"/>
      <c r="L443" s="802"/>
      <c r="M443" s="293"/>
      <c r="N443" s="800" t="s">
        <v>236</v>
      </c>
      <c r="O443" s="801"/>
      <c r="P443" s="801"/>
      <c r="Q443" s="802"/>
      <c r="R443" s="293"/>
      <c r="S443" s="800" t="s">
        <v>926</v>
      </c>
      <c r="T443" s="801"/>
      <c r="U443" s="801"/>
      <c r="V443" s="802"/>
      <c r="W443" s="293"/>
      <c r="X443" s="323"/>
      <c r="Y443" s="324"/>
      <c r="Z443" s="325"/>
      <c r="AA443" s="326"/>
      <c r="AB443" s="254"/>
    </row>
    <row r="444" spans="1:31" ht="27" customHeight="1" x14ac:dyDescent="0.2">
      <c r="A444" s="462"/>
      <c r="B444" s="1151"/>
      <c r="C444" s="265"/>
      <c r="D444" s="766" t="s">
        <v>866</v>
      </c>
      <c r="E444" s="767"/>
      <c r="F444" s="768"/>
      <c r="G444" s="769"/>
      <c r="H444" s="293"/>
      <c r="I444" s="766" t="s">
        <v>867</v>
      </c>
      <c r="J444" s="767"/>
      <c r="K444" s="768"/>
      <c r="L444" s="769"/>
      <c r="M444" s="293"/>
      <c r="N444" s="766" t="s">
        <v>868</v>
      </c>
      <c r="O444" s="767"/>
      <c r="P444" s="768"/>
      <c r="Q444" s="769"/>
      <c r="R444" s="293"/>
      <c r="S444" s="766" t="s">
        <v>865</v>
      </c>
      <c r="T444" s="767"/>
      <c r="U444" s="768"/>
      <c r="V444" s="769"/>
      <c r="W444" s="293"/>
      <c r="X444" s="323"/>
      <c r="Y444" s="324"/>
      <c r="Z444" s="325"/>
      <c r="AA444" s="326"/>
      <c r="AB444" s="254"/>
    </row>
    <row r="445" spans="1:31" ht="16.149999999999999" customHeight="1" x14ac:dyDescent="0.25">
      <c r="A445" s="462"/>
      <c r="B445" s="1151"/>
      <c r="C445" s="265"/>
      <c r="D445" s="864">
        <v>0.15</v>
      </c>
      <c r="E445" s="865"/>
      <c r="F445" s="885">
        <v>0</v>
      </c>
      <c r="G445" s="886"/>
      <c r="H445" s="293"/>
      <c r="I445" s="864">
        <v>0.15</v>
      </c>
      <c r="J445" s="865"/>
      <c r="K445" s="885">
        <v>0</v>
      </c>
      <c r="L445" s="886"/>
      <c r="M445" s="293"/>
      <c r="N445" s="864">
        <v>0.06</v>
      </c>
      <c r="O445" s="865"/>
      <c r="P445" s="885">
        <v>0</v>
      </c>
      <c r="Q445" s="886"/>
      <c r="R445" s="293"/>
      <c r="S445" s="864">
        <v>0.04</v>
      </c>
      <c r="T445" s="865"/>
      <c r="U445" s="885">
        <v>0</v>
      </c>
      <c r="V445" s="886"/>
      <c r="W445" s="293"/>
      <c r="X445" s="323"/>
      <c r="Y445" s="324"/>
      <c r="Z445" s="325"/>
      <c r="AA445" s="326"/>
      <c r="AB445" s="254"/>
    </row>
    <row r="446" spans="1:31" s="486" customFormat="1" ht="16.149999999999999" customHeight="1" x14ac:dyDescent="0.2">
      <c r="A446" s="482"/>
      <c r="B446" s="1151"/>
      <c r="C446" s="265"/>
      <c r="D446" s="611">
        <f>D445*G446</f>
        <v>120</v>
      </c>
      <c r="E446" s="564"/>
      <c r="F446" s="561" t="s">
        <v>291</v>
      </c>
      <c r="G446" s="565">
        <v>800</v>
      </c>
      <c r="H446" s="563"/>
      <c r="I446" s="611">
        <f>I445*L446</f>
        <v>120</v>
      </c>
      <c r="J446" s="564"/>
      <c r="K446" s="561" t="s">
        <v>291</v>
      </c>
      <c r="L446" s="565">
        <v>800</v>
      </c>
      <c r="M446" s="563"/>
      <c r="N446" s="611">
        <f>N445*Q446</f>
        <v>180</v>
      </c>
      <c r="O446" s="564"/>
      <c r="P446" s="561" t="s">
        <v>291</v>
      </c>
      <c r="Q446" s="565">
        <v>3000</v>
      </c>
      <c r="R446" s="563"/>
      <c r="S446" s="611">
        <f>S445*V446</f>
        <v>128</v>
      </c>
      <c r="T446" s="564"/>
      <c r="U446" s="561" t="s">
        <v>291</v>
      </c>
      <c r="V446" s="565">
        <v>3200</v>
      </c>
      <c r="W446" s="563"/>
      <c r="X446" s="566"/>
      <c r="Y446" s="567"/>
      <c r="Z446" s="568"/>
      <c r="AA446" s="569"/>
      <c r="AB446" s="483"/>
      <c r="AC446" s="485"/>
    </row>
    <row r="447" spans="1:31" ht="24" customHeight="1" thickBot="1" x14ac:dyDescent="0.25">
      <c r="A447" s="462"/>
      <c r="B447" s="254"/>
      <c r="C447" s="254"/>
      <c r="D447" s="305"/>
      <c r="E447" s="305"/>
      <c r="F447" s="315"/>
      <c r="G447" s="306"/>
      <c r="H447" s="290"/>
      <c r="I447" s="305"/>
      <c r="J447" s="305"/>
      <c r="K447" s="315"/>
      <c r="L447" s="306"/>
      <c r="M447" s="290"/>
      <c r="N447" s="305"/>
      <c r="O447" s="305"/>
      <c r="P447" s="315"/>
      <c r="Q447" s="306"/>
      <c r="R447" s="290"/>
      <c r="S447" s="305"/>
      <c r="T447" s="305"/>
      <c r="U447" s="315"/>
      <c r="V447" s="306"/>
      <c r="W447" s="290"/>
      <c r="X447" s="305"/>
      <c r="Y447" s="305"/>
      <c r="Z447" s="315"/>
      <c r="AA447" s="306"/>
      <c r="AB447" s="254"/>
    </row>
    <row r="448" spans="1:31" s="280" customFormat="1" ht="27" customHeight="1" thickTop="1" x14ac:dyDescent="0.3">
      <c r="A448" s="478"/>
      <c r="B448" s="279"/>
      <c r="C448" s="279"/>
      <c r="D448" s="850" t="s">
        <v>467</v>
      </c>
      <c r="E448" s="850"/>
      <c r="F448" s="850"/>
      <c r="G448" s="850"/>
      <c r="H448" s="850"/>
      <c r="I448" s="850"/>
      <c r="J448" s="850"/>
      <c r="K448" s="850"/>
      <c r="L448" s="850"/>
      <c r="M448" s="850"/>
      <c r="N448" s="850"/>
      <c r="O448" s="850"/>
      <c r="P448" s="850"/>
      <c r="Q448" s="850"/>
      <c r="R448" s="850"/>
      <c r="S448" s="850"/>
      <c r="T448" s="850"/>
      <c r="U448" s="850"/>
      <c r="V448" s="850"/>
      <c r="W448" s="850"/>
      <c r="X448" s="850"/>
      <c r="Y448" s="850"/>
      <c r="Z448" s="850"/>
      <c r="AA448" s="850"/>
      <c r="AB448" s="279"/>
      <c r="AC448" s="427"/>
    </row>
    <row r="449" spans="1:34" s="202" customFormat="1" ht="20.65" customHeight="1" x14ac:dyDescent="0.3">
      <c r="A449" s="475"/>
      <c r="B449" s="257"/>
      <c r="C449" s="257"/>
      <c r="D449" s="279"/>
      <c r="E449" s="279"/>
      <c r="F449" s="279"/>
      <c r="G449" s="279"/>
      <c r="H449" s="279"/>
      <c r="I449" s="279"/>
      <c r="J449" s="279"/>
      <c r="K449" s="279"/>
      <c r="L449" s="279"/>
      <c r="M449" s="279"/>
      <c r="N449" s="279"/>
      <c r="O449" s="279"/>
      <c r="P449" s="279"/>
      <c r="Q449" s="279"/>
      <c r="R449" s="279"/>
      <c r="S449" s="279"/>
      <c r="T449" s="279"/>
      <c r="U449" s="279"/>
      <c r="V449" s="279"/>
      <c r="W449" s="279"/>
      <c r="X449" s="279"/>
      <c r="Y449" s="279"/>
      <c r="Z449" s="279"/>
      <c r="AA449" s="279"/>
      <c r="AB449" s="257"/>
      <c r="AC449" s="424"/>
    </row>
    <row r="450" spans="1:34" ht="13.15" customHeight="1" x14ac:dyDescent="0.2">
      <c r="A450" s="462"/>
      <c r="B450" s="254"/>
      <c r="C450" s="254"/>
      <c r="D450" s="788"/>
      <c r="E450" s="789"/>
      <c r="F450" s="789"/>
      <c r="G450" s="790"/>
      <c r="H450" s="293"/>
      <c r="I450" s="803"/>
      <c r="J450" s="804"/>
      <c r="K450" s="804"/>
      <c r="L450" s="805"/>
      <c r="M450" s="293"/>
      <c r="N450" s="803"/>
      <c r="O450" s="804"/>
      <c r="P450" s="804"/>
      <c r="Q450" s="805"/>
      <c r="R450" s="293"/>
      <c r="S450" s="803"/>
      <c r="T450" s="804"/>
      <c r="U450" s="804"/>
      <c r="V450" s="805"/>
      <c r="W450" s="293"/>
      <c r="X450" s="814"/>
      <c r="Y450" s="814"/>
      <c r="Z450" s="814"/>
      <c r="AA450" s="814"/>
      <c r="AB450" s="254"/>
    </row>
    <row r="451" spans="1:34" ht="13.15" customHeight="1" x14ac:dyDescent="0.2">
      <c r="A451" s="462"/>
      <c r="B451" s="254"/>
      <c r="C451" s="254"/>
      <c r="D451" s="791"/>
      <c r="E451" s="792"/>
      <c r="F451" s="792"/>
      <c r="G451" s="793"/>
      <c r="H451" s="293"/>
      <c r="I451" s="774"/>
      <c r="J451" s="775"/>
      <c r="K451" s="775"/>
      <c r="L451" s="776"/>
      <c r="M451" s="293"/>
      <c r="N451" s="774"/>
      <c r="O451" s="775"/>
      <c r="P451" s="775"/>
      <c r="Q451" s="776"/>
      <c r="R451" s="293"/>
      <c r="S451" s="774"/>
      <c r="T451" s="775"/>
      <c r="U451" s="775"/>
      <c r="V451" s="776"/>
      <c r="W451" s="293"/>
      <c r="X451" s="814"/>
      <c r="Y451" s="814"/>
      <c r="Z451" s="814"/>
      <c r="AA451" s="814"/>
      <c r="AB451" s="254"/>
    </row>
    <row r="452" spans="1:34" ht="13.15" customHeight="1" x14ac:dyDescent="0.2">
      <c r="A452" s="462"/>
      <c r="B452" s="254"/>
      <c r="C452" s="254"/>
      <c r="D452" s="316"/>
      <c r="E452" s="317"/>
      <c r="F452" s="317"/>
      <c r="G452" s="318"/>
      <c r="H452" s="293"/>
      <c r="I452" s="334"/>
      <c r="J452" s="335"/>
      <c r="K452" s="335"/>
      <c r="L452" s="336"/>
      <c r="M452" s="293"/>
      <c r="N452" s="753"/>
      <c r="O452" s="754"/>
      <c r="P452" s="754"/>
      <c r="Q452" s="755"/>
      <c r="R452" s="293"/>
      <c r="S452" s="637"/>
      <c r="T452" s="638"/>
      <c r="U452" s="638"/>
      <c r="V452" s="639"/>
      <c r="W452" s="293"/>
      <c r="X452" s="725"/>
      <c r="Y452" s="725"/>
      <c r="Z452" s="725"/>
      <c r="AA452" s="725"/>
      <c r="AB452" s="254"/>
      <c r="AC452" s="394"/>
      <c r="AD452" s="394"/>
      <c r="AE452" s="394"/>
      <c r="AF452" s="394"/>
      <c r="AG452" s="394"/>
    </row>
    <row r="453" spans="1:34" ht="13.15" customHeight="1" x14ac:dyDescent="0.2">
      <c r="A453" s="462"/>
      <c r="B453" s="254"/>
      <c r="C453" s="254"/>
      <c r="D453" s="791"/>
      <c r="E453" s="792"/>
      <c r="F453" s="792"/>
      <c r="G453" s="793"/>
      <c r="H453" s="293"/>
      <c r="I453" s="774"/>
      <c r="J453" s="775"/>
      <c r="K453" s="775"/>
      <c r="L453" s="776"/>
      <c r="M453" s="293"/>
      <c r="N453" s="774"/>
      <c r="O453" s="775"/>
      <c r="P453" s="775"/>
      <c r="Q453" s="776"/>
      <c r="R453" s="293"/>
      <c r="S453" s="774"/>
      <c r="T453" s="775"/>
      <c r="U453" s="775"/>
      <c r="V453" s="776"/>
      <c r="W453" s="293"/>
      <c r="X453" s="814"/>
      <c r="Y453" s="814"/>
      <c r="Z453" s="814"/>
      <c r="AA453" s="814"/>
      <c r="AB453" s="254"/>
      <c r="AC453" s="394"/>
      <c r="AD453" s="394"/>
      <c r="AE453" s="394"/>
      <c r="AF453" s="394"/>
      <c r="AG453" s="394"/>
      <c r="AH453" s="206"/>
    </row>
    <row r="454" spans="1:34" s="193" customFormat="1" ht="13.15" customHeight="1" x14ac:dyDescent="0.2">
      <c r="A454" s="465"/>
      <c r="B454" s="254"/>
      <c r="C454" s="254"/>
      <c r="D454" s="791"/>
      <c r="E454" s="792"/>
      <c r="F454" s="792"/>
      <c r="G454" s="793"/>
      <c r="H454" s="293"/>
      <c r="I454" s="774"/>
      <c r="J454" s="775"/>
      <c r="K454" s="775"/>
      <c r="L454" s="776"/>
      <c r="M454" s="293"/>
      <c r="N454" s="774"/>
      <c r="O454" s="775"/>
      <c r="P454" s="775"/>
      <c r="Q454" s="776"/>
      <c r="R454" s="293"/>
      <c r="S454" s="774"/>
      <c r="T454" s="775"/>
      <c r="U454" s="775"/>
      <c r="V454" s="776"/>
      <c r="W454" s="293"/>
      <c r="X454" s="814"/>
      <c r="Y454" s="814"/>
      <c r="Z454" s="814"/>
      <c r="AA454" s="814"/>
      <c r="AB454" s="254"/>
      <c r="AC454" s="396"/>
      <c r="AD454" s="396"/>
      <c r="AE454" s="396"/>
      <c r="AF454" s="396"/>
      <c r="AG454" s="396"/>
      <c r="AH454" s="395"/>
    </row>
    <row r="455" spans="1:34" ht="12.95" customHeight="1" x14ac:dyDescent="0.25">
      <c r="A455" s="462"/>
      <c r="B455" s="254"/>
      <c r="C455" s="254"/>
      <c r="D455" s="794"/>
      <c r="E455" s="795"/>
      <c r="F455" s="795"/>
      <c r="G455" s="796"/>
      <c r="H455" s="293"/>
      <c r="I455" s="777"/>
      <c r="J455" s="778"/>
      <c r="K455" s="778"/>
      <c r="L455" s="779"/>
      <c r="M455" s="293"/>
      <c r="N455" s="777"/>
      <c r="O455" s="778"/>
      <c r="P455" s="778"/>
      <c r="Q455" s="779"/>
      <c r="R455" s="293"/>
      <c r="S455" s="774"/>
      <c r="T455" s="775"/>
      <c r="U455" s="775"/>
      <c r="V455" s="776"/>
      <c r="W455" s="293"/>
      <c r="X455" s="814"/>
      <c r="Y455" s="814"/>
      <c r="Z455" s="814"/>
      <c r="AA455" s="814"/>
      <c r="AB455" s="254"/>
      <c r="AC455" s="394"/>
      <c r="AD455" s="872"/>
      <c r="AE455" s="872"/>
      <c r="AF455" s="872"/>
      <c r="AG455" s="872"/>
      <c r="AH455" s="206"/>
    </row>
    <row r="456" spans="1:34" ht="12" customHeight="1" x14ac:dyDescent="0.25">
      <c r="A456" s="462"/>
      <c r="B456" s="254"/>
      <c r="C456" s="254"/>
      <c r="D456" s="780" t="s">
        <v>197</v>
      </c>
      <c r="E456" s="781"/>
      <c r="F456" s="781"/>
      <c r="G456" s="782"/>
      <c r="H456" s="563"/>
      <c r="I456" s="780" t="s">
        <v>451</v>
      </c>
      <c r="J456" s="781"/>
      <c r="K456" s="781"/>
      <c r="L456" s="782"/>
      <c r="M456" s="563"/>
      <c r="N456" s="780" t="s">
        <v>935</v>
      </c>
      <c r="O456" s="781"/>
      <c r="P456" s="781"/>
      <c r="Q456" s="782"/>
      <c r="R456" s="563"/>
      <c r="S456" s="780" t="s">
        <v>469</v>
      </c>
      <c r="T456" s="781"/>
      <c r="U456" s="781"/>
      <c r="V456" s="782"/>
      <c r="W456" s="293"/>
      <c r="X456" s="975"/>
      <c r="Y456" s="975"/>
      <c r="Z456" s="975"/>
      <c r="AA456" s="975"/>
      <c r="AB456" s="254"/>
      <c r="AC456" s="872"/>
      <c r="AD456" s="872"/>
      <c r="AE456" s="872"/>
      <c r="AF456" s="872"/>
      <c r="AG456" s="394"/>
      <c r="AH456" s="206"/>
    </row>
    <row r="457" spans="1:34" s="188" customFormat="1" ht="27" customHeight="1" x14ac:dyDescent="0.2">
      <c r="A457" s="254"/>
      <c r="B457" s="262"/>
      <c r="C457" s="262"/>
      <c r="D457" s="766" t="s">
        <v>881</v>
      </c>
      <c r="E457" s="767"/>
      <c r="F457" s="767"/>
      <c r="G457" s="783"/>
      <c r="H457" s="308"/>
      <c r="I457" s="766" t="s">
        <v>882</v>
      </c>
      <c r="J457" s="767"/>
      <c r="K457" s="767"/>
      <c r="L457" s="783"/>
      <c r="M457" s="308"/>
      <c r="N457" s="766" t="s">
        <v>936</v>
      </c>
      <c r="O457" s="767"/>
      <c r="P457" s="767"/>
      <c r="Q457" s="783"/>
      <c r="R457" s="308"/>
      <c r="S457" s="976" t="s">
        <v>883</v>
      </c>
      <c r="T457" s="977"/>
      <c r="U457" s="977"/>
      <c r="V457" s="978"/>
      <c r="W457" s="308"/>
      <c r="X457" s="866"/>
      <c r="Y457" s="866"/>
      <c r="Z457" s="866"/>
      <c r="AA457" s="866"/>
      <c r="AB457" s="262"/>
      <c r="AC457" s="394"/>
      <c r="AD457" s="873"/>
      <c r="AE457" s="873"/>
      <c r="AF457" s="873"/>
      <c r="AG457" s="873"/>
      <c r="AH457" s="206"/>
    </row>
    <row r="458" spans="1:34" ht="16.149999999999999" customHeight="1" x14ac:dyDescent="0.25">
      <c r="A458" s="462"/>
      <c r="B458" s="254"/>
      <c r="C458" s="254"/>
      <c r="D458" s="784">
        <v>9</v>
      </c>
      <c r="E458" s="785"/>
      <c r="F458" s="786">
        <v>4</v>
      </c>
      <c r="G458" s="787"/>
      <c r="H458" s="293"/>
      <c r="I458" s="784">
        <v>9</v>
      </c>
      <c r="J458" s="785"/>
      <c r="K458" s="786">
        <v>0</v>
      </c>
      <c r="L458" s="787"/>
      <c r="M458" s="293"/>
      <c r="N458" s="784">
        <v>8.25</v>
      </c>
      <c r="O458" s="785"/>
      <c r="P458" s="786">
        <v>0</v>
      </c>
      <c r="Q458" s="787"/>
      <c r="R458" s="293"/>
      <c r="S458" s="784">
        <v>12</v>
      </c>
      <c r="T458" s="785"/>
      <c r="U458" s="786">
        <v>0</v>
      </c>
      <c r="V458" s="787"/>
      <c r="W458" s="293"/>
      <c r="X458" s="988"/>
      <c r="Y458" s="988"/>
      <c r="Z458" s="989"/>
      <c r="AA458" s="989"/>
      <c r="AB458" s="254"/>
      <c r="AC458" s="394"/>
      <c r="AD458" s="394"/>
      <c r="AE458" s="394"/>
      <c r="AF458" s="394"/>
      <c r="AG458" s="394"/>
      <c r="AH458" s="206"/>
    </row>
    <row r="459" spans="1:34" s="486" customFormat="1" ht="15.95" customHeight="1" x14ac:dyDescent="0.2">
      <c r="A459" s="482"/>
      <c r="B459" s="483"/>
      <c r="C459" s="483"/>
      <c r="D459" s="613">
        <f>D458*G459</f>
        <v>360</v>
      </c>
      <c r="E459" s="560"/>
      <c r="F459" s="561" t="s">
        <v>291</v>
      </c>
      <c r="G459" s="565">
        <v>40</v>
      </c>
      <c r="H459" s="563"/>
      <c r="I459" s="613">
        <f>I458*L459</f>
        <v>54</v>
      </c>
      <c r="J459" s="560"/>
      <c r="K459" s="561" t="s">
        <v>291</v>
      </c>
      <c r="L459" s="565">
        <v>6</v>
      </c>
      <c r="M459" s="563"/>
      <c r="N459" s="613">
        <f>N458*Q459</f>
        <v>412.5</v>
      </c>
      <c r="O459" s="560"/>
      <c r="P459" s="561" t="s">
        <v>291</v>
      </c>
      <c r="Q459" s="759">
        <v>50</v>
      </c>
      <c r="R459" s="563"/>
      <c r="S459" s="613">
        <f>S458*V459</f>
        <v>480</v>
      </c>
      <c r="T459" s="560"/>
      <c r="U459" s="561" t="s">
        <v>291</v>
      </c>
      <c r="V459" s="565">
        <v>40</v>
      </c>
      <c r="W459" s="563"/>
      <c r="X459" s="676"/>
      <c r="Y459" s="677"/>
      <c r="Z459" s="678"/>
      <c r="AA459" s="679"/>
      <c r="AB459" s="483"/>
      <c r="AC459" s="485"/>
      <c r="AD459" s="485"/>
      <c r="AE459" s="485"/>
      <c r="AF459" s="485"/>
      <c r="AG459" s="485"/>
      <c r="AH459" s="485"/>
    </row>
    <row r="460" spans="1:34" ht="14.25" x14ac:dyDescent="0.2">
      <c r="A460" s="462"/>
      <c r="B460" s="254"/>
      <c r="C460" s="254"/>
      <c r="D460" s="331"/>
      <c r="E460" s="331"/>
      <c r="F460" s="332"/>
      <c r="G460" s="332"/>
      <c r="H460" s="293"/>
      <c r="I460" s="331"/>
      <c r="J460" s="331"/>
      <c r="K460" s="332"/>
      <c r="L460" s="332"/>
      <c r="M460" s="293"/>
      <c r="N460" s="293"/>
      <c r="O460" s="293"/>
      <c r="P460" s="293"/>
      <c r="Q460" s="293"/>
      <c r="R460" s="293"/>
      <c r="S460" s="636"/>
      <c r="T460" s="636"/>
      <c r="U460" s="332"/>
      <c r="V460" s="332"/>
      <c r="W460" s="293"/>
      <c r="X460" s="331"/>
      <c r="Y460" s="331"/>
      <c r="Z460" s="332"/>
      <c r="AA460" s="332"/>
      <c r="AB460" s="254"/>
    </row>
    <row r="461" spans="1:34" ht="14.25" x14ac:dyDescent="0.2">
      <c r="A461" s="462"/>
      <c r="B461" s="254"/>
      <c r="C461" s="254"/>
      <c r="D461" s="788"/>
      <c r="E461" s="789"/>
      <c r="F461" s="789"/>
      <c r="G461" s="790"/>
      <c r="H461" s="293"/>
      <c r="I461" s="788"/>
      <c r="J461" s="789"/>
      <c r="K461" s="789"/>
      <c r="L461" s="790"/>
      <c r="M461" s="293"/>
      <c r="N461" s="293"/>
      <c r="O461" s="293"/>
      <c r="P461" s="293"/>
      <c r="Q461" s="293"/>
      <c r="R461" s="293"/>
      <c r="S461" s="803"/>
      <c r="T461" s="804"/>
      <c r="U461" s="804"/>
      <c r="V461" s="805"/>
      <c r="W461" s="293"/>
      <c r="X461" s="803"/>
      <c r="Y461" s="804"/>
      <c r="Z461" s="804"/>
      <c r="AA461" s="805"/>
      <c r="AB461" s="254"/>
    </row>
    <row r="462" spans="1:34" ht="14.25" x14ac:dyDescent="0.2">
      <c r="A462" s="462"/>
      <c r="B462" s="254"/>
      <c r="C462" s="254"/>
      <c r="D462" s="791"/>
      <c r="E462" s="792"/>
      <c r="F462" s="792"/>
      <c r="G462" s="793"/>
      <c r="H462" s="293"/>
      <c r="I462" s="791"/>
      <c r="J462" s="792"/>
      <c r="K462" s="792"/>
      <c r="L462" s="793"/>
      <c r="M462" s="293"/>
      <c r="N462" s="293"/>
      <c r="O462" s="293"/>
      <c r="P462" s="293"/>
      <c r="Q462" s="293"/>
      <c r="R462" s="293"/>
      <c r="S462" s="774"/>
      <c r="T462" s="775"/>
      <c r="U462" s="775"/>
      <c r="V462" s="776"/>
      <c r="W462" s="293"/>
      <c r="X462" s="774"/>
      <c r="Y462" s="775"/>
      <c r="Z462" s="775"/>
      <c r="AA462" s="776"/>
      <c r="AB462" s="254"/>
    </row>
    <row r="463" spans="1:34" ht="14.25" x14ac:dyDescent="0.2">
      <c r="A463" s="462"/>
      <c r="B463" s="254"/>
      <c r="C463" s="254"/>
      <c r="D463" s="628"/>
      <c r="E463" s="629"/>
      <c r="F463" s="629"/>
      <c r="G463" s="630"/>
      <c r="H463" s="293"/>
      <c r="I463" s="628"/>
      <c r="J463" s="629"/>
      <c r="K463" s="629"/>
      <c r="L463" s="630"/>
      <c r="M463" s="293"/>
      <c r="N463" s="293"/>
      <c r="O463" s="293"/>
      <c r="P463" s="293"/>
      <c r="Q463" s="293"/>
      <c r="R463" s="293"/>
      <c r="S463" s="334"/>
      <c r="T463" s="335"/>
      <c r="U463" s="335"/>
      <c r="V463" s="336"/>
      <c r="W463" s="293"/>
      <c r="X463" s="334"/>
      <c r="Y463" s="335"/>
      <c r="Z463" s="335"/>
      <c r="AA463" s="336"/>
      <c r="AB463" s="254"/>
    </row>
    <row r="464" spans="1:34" ht="14.25" x14ac:dyDescent="0.2">
      <c r="A464" s="462"/>
      <c r="B464" s="254"/>
      <c r="C464" s="254"/>
      <c r="D464" s="791"/>
      <c r="E464" s="792"/>
      <c r="F464" s="792"/>
      <c r="G464" s="793"/>
      <c r="H464" s="293"/>
      <c r="I464" s="791"/>
      <c r="J464" s="792"/>
      <c r="K464" s="792"/>
      <c r="L464" s="793"/>
      <c r="M464" s="293"/>
      <c r="N464" s="293"/>
      <c r="O464" s="293"/>
      <c r="P464" s="293"/>
      <c r="Q464" s="293"/>
      <c r="R464" s="293"/>
      <c r="S464" s="774"/>
      <c r="T464" s="775"/>
      <c r="U464" s="775"/>
      <c r="V464" s="776"/>
      <c r="W464" s="293"/>
      <c r="X464" s="774"/>
      <c r="Y464" s="775"/>
      <c r="Z464" s="775"/>
      <c r="AA464" s="776"/>
      <c r="AB464" s="254"/>
    </row>
    <row r="465" spans="1:29" s="193" customFormat="1" ht="14.25" x14ac:dyDescent="0.2">
      <c r="A465" s="465"/>
      <c r="B465" s="254"/>
      <c r="C465" s="254"/>
      <c r="D465" s="791"/>
      <c r="E465" s="792"/>
      <c r="F465" s="792"/>
      <c r="G465" s="793"/>
      <c r="H465" s="293"/>
      <c r="I465" s="791"/>
      <c r="J465" s="792"/>
      <c r="K465" s="792"/>
      <c r="L465" s="793"/>
      <c r="M465" s="293"/>
      <c r="N465" s="337"/>
      <c r="O465" s="337"/>
      <c r="P465" s="337"/>
      <c r="Q465" s="337"/>
      <c r="R465" s="308"/>
      <c r="S465" s="774"/>
      <c r="T465" s="775"/>
      <c r="U465" s="775"/>
      <c r="V465" s="776"/>
      <c r="W465" s="293"/>
      <c r="X465" s="774"/>
      <c r="Y465" s="775"/>
      <c r="Z465" s="775"/>
      <c r="AA465" s="776"/>
      <c r="AB465" s="254"/>
      <c r="AC465" s="395"/>
    </row>
    <row r="466" spans="1:29" ht="12.75" customHeight="1" x14ac:dyDescent="0.2">
      <c r="A466" s="462"/>
      <c r="B466" s="254"/>
      <c r="C466" s="254"/>
      <c r="D466" s="794"/>
      <c r="E466" s="795"/>
      <c r="F466" s="795"/>
      <c r="G466" s="796"/>
      <c r="H466" s="293"/>
      <c r="I466" s="794"/>
      <c r="J466" s="795"/>
      <c r="K466" s="795"/>
      <c r="L466" s="796"/>
      <c r="M466" s="293"/>
      <c r="N466" s="293"/>
      <c r="O466" s="293"/>
      <c r="P466" s="293"/>
      <c r="Q466" s="293"/>
      <c r="R466" s="293"/>
      <c r="S466" s="777"/>
      <c r="T466" s="778"/>
      <c r="U466" s="778"/>
      <c r="V466" s="779"/>
      <c r="W466" s="293"/>
      <c r="X466" s="777"/>
      <c r="Y466" s="778"/>
      <c r="Z466" s="778"/>
      <c r="AA466" s="779"/>
      <c r="AB466" s="254"/>
    </row>
    <row r="467" spans="1:29" ht="12.4" customHeight="1" x14ac:dyDescent="0.25">
      <c r="A467" s="462"/>
      <c r="B467" s="254"/>
      <c r="C467" s="254"/>
      <c r="D467" s="800" t="s">
        <v>196</v>
      </c>
      <c r="E467" s="801"/>
      <c r="F467" s="801"/>
      <c r="G467" s="802"/>
      <c r="H467" s="293"/>
      <c r="I467" s="800" t="s">
        <v>198</v>
      </c>
      <c r="J467" s="801"/>
      <c r="K467" s="801"/>
      <c r="L467" s="802"/>
      <c r="M467" s="293"/>
      <c r="N467" s="293"/>
      <c r="O467" s="293"/>
      <c r="P467" s="293"/>
      <c r="Q467" s="293"/>
      <c r="R467" s="293"/>
      <c r="S467" s="800" t="s">
        <v>523</v>
      </c>
      <c r="T467" s="801"/>
      <c r="U467" s="801"/>
      <c r="V467" s="802"/>
      <c r="W467" s="293"/>
      <c r="X467" s="800" t="s">
        <v>524</v>
      </c>
      <c r="Y467" s="801"/>
      <c r="Z467" s="801"/>
      <c r="AA467" s="802"/>
      <c r="AB467" s="254"/>
    </row>
    <row r="468" spans="1:29" ht="27" customHeight="1" x14ac:dyDescent="0.2">
      <c r="A468" s="462"/>
      <c r="B468" s="262"/>
      <c r="C468" s="262"/>
      <c r="D468" s="844" t="s">
        <v>885</v>
      </c>
      <c r="E468" s="767"/>
      <c r="F468" s="767"/>
      <c r="G468" s="783"/>
      <c r="H468" s="308"/>
      <c r="I468" s="766" t="s">
        <v>884</v>
      </c>
      <c r="J468" s="767"/>
      <c r="K468" s="767"/>
      <c r="L468" s="783"/>
      <c r="M468" s="308"/>
      <c r="N468" s="293"/>
      <c r="O468" s="293"/>
      <c r="P468" s="293"/>
      <c r="Q468" s="293"/>
      <c r="R468" s="293"/>
      <c r="S468" s="976" t="s">
        <v>886</v>
      </c>
      <c r="T468" s="977"/>
      <c r="U468" s="977"/>
      <c r="V468" s="978"/>
      <c r="W468" s="308"/>
      <c r="X468" s="976" t="s">
        <v>887</v>
      </c>
      <c r="Y468" s="977"/>
      <c r="Z468" s="977"/>
      <c r="AA468" s="978"/>
      <c r="AB468" s="262"/>
    </row>
    <row r="469" spans="1:29" ht="16.149999999999999" customHeight="1" x14ac:dyDescent="0.25">
      <c r="A469" s="462"/>
      <c r="B469" s="254"/>
      <c r="C469" s="254"/>
      <c r="D469" s="845">
        <v>10</v>
      </c>
      <c r="E469" s="846"/>
      <c r="F469" s="786">
        <v>2</v>
      </c>
      <c r="G469" s="787"/>
      <c r="H469" s="293"/>
      <c r="I469" s="845">
        <v>13</v>
      </c>
      <c r="J469" s="846"/>
      <c r="K469" s="786">
        <v>2</v>
      </c>
      <c r="L469" s="787"/>
      <c r="M469" s="293"/>
      <c r="N469" s="293"/>
      <c r="O469" s="293"/>
      <c r="P469" s="293"/>
      <c r="Q469" s="293"/>
      <c r="R469" s="293"/>
      <c r="S469" s="784">
        <v>13</v>
      </c>
      <c r="T469" s="966"/>
      <c r="U469" s="786">
        <v>0</v>
      </c>
      <c r="V469" s="787"/>
      <c r="W469" s="293"/>
      <c r="X469" s="784">
        <v>13</v>
      </c>
      <c r="Y469" s="785"/>
      <c r="Z469" s="786">
        <v>0</v>
      </c>
      <c r="AA469" s="787"/>
      <c r="AB469" s="254"/>
    </row>
    <row r="470" spans="1:29" s="486" customFormat="1" ht="16.149999999999999" customHeight="1" x14ac:dyDescent="0.2">
      <c r="A470" s="482"/>
      <c r="B470" s="483"/>
      <c r="C470" s="483"/>
      <c r="D470" s="613">
        <f>D469*G470</f>
        <v>40</v>
      </c>
      <c r="E470" s="560"/>
      <c r="F470" s="561" t="s">
        <v>291</v>
      </c>
      <c r="G470" s="565">
        <v>4</v>
      </c>
      <c r="H470" s="563"/>
      <c r="I470" s="613">
        <f>I469*L470</f>
        <v>416</v>
      </c>
      <c r="J470" s="560"/>
      <c r="K470" s="561" t="s">
        <v>291</v>
      </c>
      <c r="L470" s="565">
        <v>32</v>
      </c>
      <c r="M470" s="563"/>
      <c r="N470" s="563"/>
      <c r="O470" s="563"/>
      <c r="P470" s="563"/>
      <c r="Q470" s="563"/>
      <c r="R470" s="563"/>
      <c r="S470" s="613">
        <f>S469*V470</f>
        <v>416</v>
      </c>
      <c r="T470" s="560"/>
      <c r="U470" s="561" t="s">
        <v>291</v>
      </c>
      <c r="V470" s="565">
        <v>32</v>
      </c>
      <c r="W470" s="563"/>
      <c r="X470" s="613">
        <f>X469*AA470</f>
        <v>52</v>
      </c>
      <c r="Y470" s="560"/>
      <c r="Z470" s="561" t="s">
        <v>291</v>
      </c>
      <c r="AA470" s="565">
        <v>4</v>
      </c>
      <c r="AB470" s="483"/>
      <c r="AC470" s="485"/>
    </row>
    <row r="471" spans="1:29" ht="14.25" x14ac:dyDescent="0.2">
      <c r="A471" s="462"/>
      <c r="B471" s="254"/>
      <c r="C471" s="254"/>
      <c r="D471" s="636"/>
      <c r="E471" s="636"/>
      <c r="F471" s="332"/>
      <c r="G471" s="332"/>
      <c r="H471" s="293"/>
      <c r="I471" s="636"/>
      <c r="J471" s="636"/>
      <c r="K471" s="332"/>
      <c r="L471" s="332"/>
      <c r="M471" s="293"/>
      <c r="N471" s="636"/>
      <c r="O471" s="636"/>
      <c r="P471" s="332"/>
      <c r="Q471" s="332"/>
      <c r="R471" s="293"/>
      <c r="S471" s="636"/>
      <c r="T471" s="636"/>
      <c r="U471" s="332"/>
      <c r="V471" s="332"/>
      <c r="W471" s="293"/>
      <c r="X471" s="636"/>
      <c r="Y471" s="636"/>
      <c r="Z471" s="332"/>
      <c r="AA471" s="332"/>
      <c r="AB471" s="254"/>
    </row>
    <row r="472" spans="1:29" ht="14.25" x14ac:dyDescent="0.2">
      <c r="A472" s="462"/>
      <c r="B472" s="254"/>
      <c r="C472" s="254"/>
      <c r="D472" s="803"/>
      <c r="E472" s="804"/>
      <c r="F472" s="804"/>
      <c r="G472" s="805"/>
      <c r="H472" s="293"/>
      <c r="I472" s="803"/>
      <c r="J472" s="804"/>
      <c r="K472" s="804"/>
      <c r="L472" s="805"/>
      <c r="M472" s="293"/>
      <c r="N472" s="803"/>
      <c r="O472" s="804"/>
      <c r="P472" s="804"/>
      <c r="Q472" s="805"/>
      <c r="R472" s="293"/>
      <c r="W472" s="731"/>
      <c r="AB472" s="254"/>
    </row>
    <row r="473" spans="1:29" ht="14.25" x14ac:dyDescent="0.2">
      <c r="A473" s="462"/>
      <c r="B473" s="254"/>
      <c r="C473" s="254"/>
      <c r="D473" s="774"/>
      <c r="E473" s="775"/>
      <c r="F473" s="775"/>
      <c r="G473" s="776"/>
      <c r="H473" s="293"/>
      <c r="I473" s="774"/>
      <c r="J473" s="775"/>
      <c r="K473" s="775"/>
      <c r="L473" s="776"/>
      <c r="M473" s="293"/>
      <c r="N473" s="774"/>
      <c r="O473" s="775"/>
      <c r="P473" s="775"/>
      <c r="Q473" s="776"/>
      <c r="R473" s="293"/>
      <c r="W473" s="731"/>
      <c r="AB473" s="254"/>
    </row>
    <row r="474" spans="1:29" ht="14.25" x14ac:dyDescent="0.2">
      <c r="A474" s="462"/>
      <c r="B474" s="254"/>
      <c r="C474" s="254"/>
      <c r="D474" s="632"/>
      <c r="E474" s="633"/>
      <c r="F474" s="633"/>
      <c r="G474" s="634"/>
      <c r="H474" s="293"/>
      <c r="I474" s="632"/>
      <c r="J474" s="633"/>
      <c r="K474" s="633"/>
      <c r="L474" s="634"/>
      <c r="M474" s="293"/>
      <c r="N474" s="719"/>
      <c r="O474" s="720"/>
      <c r="P474" s="720"/>
      <c r="Q474" s="721"/>
      <c r="R474" s="293"/>
      <c r="W474" s="731"/>
      <c r="AB474" s="254"/>
    </row>
    <row r="475" spans="1:29" ht="14.25" x14ac:dyDescent="0.2">
      <c r="A475" s="462"/>
      <c r="B475" s="254"/>
      <c r="C475" s="254"/>
      <c r="D475" s="774"/>
      <c r="E475" s="775"/>
      <c r="F475" s="775"/>
      <c r="G475" s="776"/>
      <c r="H475" s="293"/>
      <c r="I475" s="774"/>
      <c r="J475" s="775"/>
      <c r="K475" s="775"/>
      <c r="L475" s="776"/>
      <c r="M475" s="293"/>
      <c r="N475" s="774"/>
      <c r="O475" s="775"/>
      <c r="P475" s="775"/>
      <c r="Q475" s="776"/>
      <c r="R475" s="293"/>
      <c r="W475" s="731"/>
      <c r="AB475" s="254"/>
    </row>
    <row r="476" spans="1:29" s="193" customFormat="1" ht="30" customHeight="1" x14ac:dyDescent="0.2">
      <c r="A476" s="465"/>
      <c r="B476" s="254"/>
      <c r="C476" s="254"/>
      <c r="D476" s="774"/>
      <c r="E476" s="775"/>
      <c r="F476" s="775"/>
      <c r="G476" s="776"/>
      <c r="H476" s="293"/>
      <c r="I476" s="774"/>
      <c r="J476" s="775"/>
      <c r="K476" s="775"/>
      <c r="L476" s="776"/>
      <c r="M476" s="293"/>
      <c r="N476" s="774"/>
      <c r="O476" s="775"/>
      <c r="P476" s="775"/>
      <c r="Q476" s="776"/>
      <c r="R476" s="308"/>
      <c r="W476" s="732"/>
      <c r="AB476" s="254"/>
      <c r="AC476" s="395"/>
    </row>
    <row r="477" spans="1:29" ht="12.75" customHeight="1" x14ac:dyDescent="0.2">
      <c r="A477" s="462"/>
      <c r="B477" s="254"/>
      <c r="C477" s="254"/>
      <c r="D477" s="777"/>
      <c r="E477" s="778"/>
      <c r="F477" s="778"/>
      <c r="G477" s="779"/>
      <c r="H477" s="293"/>
      <c r="I477" s="777"/>
      <c r="J477" s="778"/>
      <c r="K477" s="778"/>
      <c r="L477" s="779"/>
      <c r="M477" s="293"/>
      <c r="N477" s="777"/>
      <c r="O477" s="778"/>
      <c r="P477" s="778"/>
      <c r="Q477" s="779"/>
      <c r="R477" s="293"/>
      <c r="W477" s="731"/>
      <c r="AB477" s="254"/>
    </row>
    <row r="478" spans="1:29" ht="15.75" customHeight="1" x14ac:dyDescent="0.25">
      <c r="A478" s="462"/>
      <c r="B478" s="254"/>
      <c r="C478" s="254"/>
      <c r="D478" s="800" t="s">
        <v>199</v>
      </c>
      <c r="E478" s="801"/>
      <c r="F478" s="801"/>
      <c r="G478" s="802"/>
      <c r="H478" s="293"/>
      <c r="I478" s="800" t="s">
        <v>200</v>
      </c>
      <c r="J478" s="801"/>
      <c r="K478" s="801"/>
      <c r="L478" s="802"/>
      <c r="M478" s="293"/>
      <c r="N478" s="800" t="s">
        <v>873</v>
      </c>
      <c r="O478" s="801"/>
      <c r="P478" s="801"/>
      <c r="Q478" s="802"/>
      <c r="R478" s="293"/>
      <c r="S478" s="800" t="s">
        <v>876</v>
      </c>
      <c r="T478" s="801"/>
      <c r="U478" s="801"/>
      <c r="V478" s="802"/>
      <c r="W478" s="733"/>
      <c r="X478" s="800" t="s">
        <v>877</v>
      </c>
      <c r="Y478" s="801"/>
      <c r="Z478" s="801"/>
      <c r="AA478" s="802"/>
      <c r="AB478" s="254"/>
    </row>
    <row r="479" spans="1:29" ht="27" customHeight="1" x14ac:dyDescent="0.2">
      <c r="A479" s="462"/>
      <c r="B479" s="262"/>
      <c r="C479" s="262"/>
      <c r="D479" s="844" t="s">
        <v>888</v>
      </c>
      <c r="E479" s="767"/>
      <c r="F479" s="767"/>
      <c r="G479" s="783"/>
      <c r="H479" s="308"/>
      <c r="I479" s="766" t="s">
        <v>889</v>
      </c>
      <c r="J479" s="767"/>
      <c r="K479" s="767"/>
      <c r="L479" s="783"/>
      <c r="M479" s="308"/>
      <c r="N479" s="766" t="s">
        <v>879</v>
      </c>
      <c r="O479" s="767"/>
      <c r="P479" s="767"/>
      <c r="Q479" s="783"/>
      <c r="R479" s="293"/>
      <c r="S479" s="844" t="s">
        <v>890</v>
      </c>
      <c r="T479" s="767"/>
      <c r="U479" s="767"/>
      <c r="V479" s="783"/>
      <c r="W479" s="308"/>
      <c r="X479" s="766" t="s">
        <v>892</v>
      </c>
      <c r="Y479" s="767"/>
      <c r="Z479" s="767"/>
      <c r="AA479" s="783"/>
      <c r="AB479" s="262"/>
    </row>
    <row r="480" spans="1:29" ht="16.149999999999999" customHeight="1" x14ac:dyDescent="0.25">
      <c r="A480" s="462"/>
      <c r="B480" s="254"/>
      <c r="C480" s="254"/>
      <c r="D480" s="784">
        <v>10.75</v>
      </c>
      <c r="E480" s="785"/>
      <c r="F480" s="786">
        <v>0</v>
      </c>
      <c r="G480" s="787"/>
      <c r="H480" s="293"/>
      <c r="I480" s="845">
        <v>8</v>
      </c>
      <c r="J480" s="846"/>
      <c r="K480" s="786">
        <v>0</v>
      </c>
      <c r="L480" s="787"/>
      <c r="M480" s="293"/>
      <c r="N480" s="845">
        <v>27</v>
      </c>
      <c r="O480" s="846"/>
      <c r="P480" s="786">
        <v>0</v>
      </c>
      <c r="Q480" s="787"/>
      <c r="R480" s="293"/>
      <c r="S480" s="784">
        <v>14.79</v>
      </c>
      <c r="T480" s="785"/>
      <c r="U480" s="786">
        <v>0</v>
      </c>
      <c r="V480" s="787"/>
      <c r="W480" s="293"/>
      <c r="X480" s="845">
        <v>12.04</v>
      </c>
      <c r="Y480" s="846"/>
      <c r="Z480" s="786">
        <v>0</v>
      </c>
      <c r="AA480" s="787"/>
      <c r="AB480" s="254"/>
    </row>
    <row r="481" spans="1:29" s="486" customFormat="1" ht="16.149999999999999" customHeight="1" x14ac:dyDescent="0.2">
      <c r="A481" s="482"/>
      <c r="B481" s="483"/>
      <c r="C481" s="483"/>
      <c r="D481" s="613">
        <f>D480*G481</f>
        <v>430</v>
      </c>
      <c r="E481" s="560"/>
      <c r="F481" s="561" t="s">
        <v>291</v>
      </c>
      <c r="G481" s="565">
        <v>40</v>
      </c>
      <c r="H481" s="563"/>
      <c r="I481" s="613">
        <f>I480*L481</f>
        <v>320</v>
      </c>
      <c r="J481" s="560"/>
      <c r="K481" s="561" t="s">
        <v>291</v>
      </c>
      <c r="L481" s="565">
        <v>40</v>
      </c>
      <c r="M481" s="563"/>
      <c r="N481" s="613">
        <f>N480*Q481</f>
        <v>270</v>
      </c>
      <c r="O481" s="560"/>
      <c r="P481" s="561" t="s">
        <v>291</v>
      </c>
      <c r="Q481" s="565">
        <v>10</v>
      </c>
      <c r="R481" s="563"/>
      <c r="S481" s="613">
        <f>S480*V481</f>
        <v>29.58</v>
      </c>
      <c r="T481" s="560"/>
      <c r="U481" s="561" t="s">
        <v>291</v>
      </c>
      <c r="V481" s="565">
        <v>2</v>
      </c>
      <c r="W481" s="563"/>
      <c r="X481" s="613">
        <f>X480*AA481</f>
        <v>24.08</v>
      </c>
      <c r="Y481" s="560"/>
      <c r="Z481" s="561" t="s">
        <v>291</v>
      </c>
      <c r="AA481" s="565">
        <v>2</v>
      </c>
      <c r="AB481" s="483"/>
      <c r="AC481" s="485"/>
    </row>
    <row r="482" spans="1:29" s="486" customFormat="1" ht="16.149999999999999" customHeight="1" x14ac:dyDescent="0.2">
      <c r="A482" s="482"/>
      <c r="B482" s="483"/>
      <c r="C482" s="483"/>
      <c r="D482" s="703"/>
      <c r="E482" s="704"/>
      <c r="F482" s="705"/>
      <c r="G482" s="706"/>
      <c r="H482" s="707"/>
      <c r="I482" s="703"/>
      <c r="J482" s="704"/>
      <c r="K482" s="705"/>
      <c r="L482" s="706"/>
      <c r="M482" s="707"/>
      <c r="N482" s="707"/>
      <c r="O482" s="707"/>
      <c r="P482" s="707"/>
      <c r="Q482" s="707"/>
      <c r="R482" s="707"/>
      <c r="S482" s="703"/>
      <c r="T482" s="704"/>
      <c r="U482" s="705"/>
      <c r="V482" s="706"/>
      <c r="W482" s="707"/>
      <c r="X482" s="703"/>
      <c r="Y482" s="704"/>
      <c r="Z482" s="705"/>
      <c r="AA482" s="706"/>
      <c r="AB482" s="483"/>
      <c r="AC482" s="485"/>
    </row>
    <row r="483" spans="1:29" s="486" customFormat="1" ht="16.149999999999999" customHeight="1" x14ac:dyDescent="0.2">
      <c r="A483" s="482"/>
      <c r="B483" s="483"/>
      <c r="C483" s="483"/>
      <c r="D483" s="803"/>
      <c r="E483" s="804"/>
      <c r="F483" s="804"/>
      <c r="G483" s="805"/>
      <c r="H483" s="293"/>
      <c r="I483" s="803"/>
      <c r="J483" s="804"/>
      <c r="K483" s="804"/>
      <c r="L483" s="805"/>
      <c r="M483" s="563"/>
      <c r="N483" s="803"/>
      <c r="O483" s="804"/>
      <c r="P483" s="804"/>
      <c r="Q483" s="805"/>
      <c r="R483" s="563"/>
      <c r="S483" s="803"/>
      <c r="T483" s="804"/>
      <c r="U483" s="804"/>
      <c r="V483" s="805"/>
      <c r="W483" s="293"/>
      <c r="X483" s="803"/>
      <c r="Y483" s="804"/>
      <c r="Z483" s="804"/>
      <c r="AA483" s="805"/>
      <c r="AB483" s="483"/>
      <c r="AC483" s="485"/>
    </row>
    <row r="484" spans="1:29" s="486" customFormat="1" ht="16.149999999999999" customHeight="1" x14ac:dyDescent="0.2">
      <c r="A484" s="482"/>
      <c r="B484" s="483"/>
      <c r="C484" s="483"/>
      <c r="D484" s="774"/>
      <c r="E484" s="775"/>
      <c r="F484" s="775"/>
      <c r="G484" s="776"/>
      <c r="H484" s="293"/>
      <c r="I484" s="774"/>
      <c r="J484" s="775"/>
      <c r="K484" s="775"/>
      <c r="L484" s="776"/>
      <c r="M484" s="563"/>
      <c r="N484" s="774"/>
      <c r="O484" s="775"/>
      <c r="P484" s="775"/>
      <c r="Q484" s="776"/>
      <c r="R484" s="563"/>
      <c r="S484" s="774"/>
      <c r="T484" s="775"/>
      <c r="U484" s="775"/>
      <c r="V484" s="776"/>
      <c r="W484" s="293"/>
      <c r="X484" s="774"/>
      <c r="Y484" s="775"/>
      <c r="Z484" s="775"/>
      <c r="AA484" s="776"/>
      <c r="AB484" s="483"/>
      <c r="AC484" s="485"/>
    </row>
    <row r="485" spans="1:29" s="486" customFormat="1" ht="16.149999999999999" customHeight="1" x14ac:dyDescent="0.2">
      <c r="A485" s="482"/>
      <c r="B485" s="483"/>
      <c r="C485" s="483"/>
      <c r="D485" s="719"/>
      <c r="E485" s="720"/>
      <c r="F485" s="720"/>
      <c r="G485" s="721"/>
      <c r="H485" s="293"/>
      <c r="I485" s="719"/>
      <c r="J485" s="720"/>
      <c r="K485" s="720"/>
      <c r="L485" s="721"/>
      <c r="M485" s="563"/>
      <c r="N485" s="719"/>
      <c r="O485" s="720"/>
      <c r="P485" s="720"/>
      <c r="Q485" s="721"/>
      <c r="R485" s="563"/>
      <c r="S485" s="632"/>
      <c r="T485" s="633"/>
      <c r="U485" s="633"/>
      <c r="V485" s="634"/>
      <c r="W485" s="293"/>
      <c r="X485" s="632"/>
      <c r="Y485" s="633"/>
      <c r="Z485" s="633"/>
      <c r="AA485" s="634"/>
      <c r="AB485" s="483"/>
      <c r="AC485" s="485"/>
    </row>
    <row r="486" spans="1:29" s="486" customFormat="1" ht="16.149999999999999" customHeight="1" x14ac:dyDescent="0.2">
      <c r="A486" s="482"/>
      <c r="B486" s="483"/>
      <c r="C486" s="483"/>
      <c r="D486" s="774"/>
      <c r="E486" s="775"/>
      <c r="F486" s="775"/>
      <c r="G486" s="776"/>
      <c r="H486" s="293"/>
      <c r="I486" s="774"/>
      <c r="J486" s="775"/>
      <c r="K486" s="775"/>
      <c r="L486" s="776"/>
      <c r="M486" s="563"/>
      <c r="N486" s="774"/>
      <c r="O486" s="775"/>
      <c r="P486" s="775"/>
      <c r="Q486" s="776"/>
      <c r="R486" s="563"/>
      <c r="S486" s="774"/>
      <c r="T486" s="775"/>
      <c r="U486" s="775"/>
      <c r="V486" s="776"/>
      <c r="W486" s="293"/>
      <c r="X486" s="774"/>
      <c r="Y486" s="775"/>
      <c r="Z486" s="775"/>
      <c r="AA486" s="776"/>
      <c r="AB486" s="483"/>
      <c r="AC486" s="485"/>
    </row>
    <row r="487" spans="1:29" s="486" customFormat="1" ht="16.149999999999999" customHeight="1" x14ac:dyDescent="0.2">
      <c r="A487" s="482"/>
      <c r="B487" s="483"/>
      <c r="C487" s="483"/>
      <c r="D487" s="774"/>
      <c r="E487" s="775"/>
      <c r="F487" s="775"/>
      <c r="G487" s="776"/>
      <c r="H487" s="293"/>
      <c r="I487" s="774"/>
      <c r="J487" s="775"/>
      <c r="K487" s="775"/>
      <c r="L487" s="776"/>
      <c r="M487" s="563"/>
      <c r="N487" s="774"/>
      <c r="O487" s="775"/>
      <c r="P487" s="775"/>
      <c r="Q487" s="776"/>
      <c r="R487" s="563"/>
      <c r="S487" s="774"/>
      <c r="T487" s="775"/>
      <c r="U487" s="775"/>
      <c r="V487" s="776"/>
      <c r="W487" s="293"/>
      <c r="X487" s="774"/>
      <c r="Y487" s="775"/>
      <c r="Z487" s="775"/>
      <c r="AA487" s="776"/>
      <c r="AB487" s="483"/>
      <c r="AC487" s="485"/>
    </row>
    <row r="488" spans="1:29" s="486" customFormat="1" ht="16.149999999999999" customHeight="1" x14ac:dyDescent="0.2">
      <c r="A488" s="482"/>
      <c r="B488" s="483"/>
      <c r="C488" s="483"/>
      <c r="D488" s="777"/>
      <c r="E488" s="778"/>
      <c r="F488" s="778"/>
      <c r="G488" s="779"/>
      <c r="H488" s="293"/>
      <c r="I488" s="777"/>
      <c r="J488" s="778"/>
      <c r="K488" s="778"/>
      <c r="L488" s="779"/>
      <c r="M488" s="563"/>
      <c r="N488" s="777"/>
      <c r="O488" s="778"/>
      <c r="P488" s="778"/>
      <c r="Q488" s="779"/>
      <c r="R488" s="563"/>
      <c r="S488" s="777"/>
      <c r="T488" s="778"/>
      <c r="U488" s="778"/>
      <c r="V488" s="779"/>
      <c r="W488" s="293"/>
      <c r="X488" s="777"/>
      <c r="Y488" s="778"/>
      <c r="Z488" s="778"/>
      <c r="AA488" s="779"/>
      <c r="AB488" s="483"/>
      <c r="AC488" s="485"/>
    </row>
    <row r="489" spans="1:29" s="486" customFormat="1" ht="16.149999999999999" customHeight="1" x14ac:dyDescent="0.25">
      <c r="A489" s="482"/>
      <c r="B489" s="483"/>
      <c r="C489" s="483"/>
      <c r="D489" s="800" t="s">
        <v>201</v>
      </c>
      <c r="E489" s="801"/>
      <c r="F489" s="801"/>
      <c r="G489" s="802"/>
      <c r="H489" s="293"/>
      <c r="I489" s="800" t="s">
        <v>202</v>
      </c>
      <c r="J489" s="801"/>
      <c r="K489" s="801"/>
      <c r="L489" s="802"/>
      <c r="M489" s="563"/>
      <c r="N489" s="800" t="s">
        <v>878</v>
      </c>
      <c r="O489" s="801"/>
      <c r="P489" s="801"/>
      <c r="Q489" s="802"/>
      <c r="R489" s="563"/>
      <c r="S489" s="800" t="s">
        <v>874</v>
      </c>
      <c r="T489" s="801"/>
      <c r="U489" s="801"/>
      <c r="V489" s="802"/>
      <c r="W489" s="293"/>
      <c r="X489" s="800" t="s">
        <v>875</v>
      </c>
      <c r="Y489" s="801"/>
      <c r="Z489" s="801"/>
      <c r="AA489" s="802"/>
      <c r="AB489" s="483"/>
      <c r="AC489" s="485"/>
    </row>
    <row r="490" spans="1:29" s="486" customFormat="1" ht="28.5" customHeight="1" x14ac:dyDescent="0.2">
      <c r="A490" s="482"/>
      <c r="B490" s="483"/>
      <c r="C490" s="483"/>
      <c r="D490" s="766" t="s">
        <v>894</v>
      </c>
      <c r="E490" s="767"/>
      <c r="F490" s="768"/>
      <c r="G490" s="769"/>
      <c r="H490" s="308"/>
      <c r="I490" s="766" t="s">
        <v>895</v>
      </c>
      <c r="J490" s="767"/>
      <c r="K490" s="767"/>
      <c r="L490" s="783"/>
      <c r="M490" s="563"/>
      <c r="N490" s="766" t="s">
        <v>880</v>
      </c>
      <c r="O490" s="767"/>
      <c r="P490" s="767"/>
      <c r="Q490" s="783"/>
      <c r="R490" s="563"/>
      <c r="S490" s="766" t="s">
        <v>891</v>
      </c>
      <c r="T490" s="767"/>
      <c r="U490" s="768"/>
      <c r="V490" s="769"/>
      <c r="W490" s="308"/>
      <c r="X490" s="766" t="s">
        <v>893</v>
      </c>
      <c r="Y490" s="767"/>
      <c r="Z490" s="767"/>
      <c r="AA490" s="783"/>
      <c r="AB490" s="483"/>
      <c r="AC490" s="485"/>
    </row>
    <row r="491" spans="1:29" s="486" customFormat="1" ht="16.149999999999999" customHeight="1" x14ac:dyDescent="0.25">
      <c r="A491" s="482"/>
      <c r="B491" s="483"/>
      <c r="C491" s="483"/>
      <c r="D491" s="784">
        <v>22</v>
      </c>
      <c r="E491" s="785"/>
      <c r="F491" s="786">
        <v>0</v>
      </c>
      <c r="G491" s="787"/>
      <c r="H491" s="293"/>
      <c r="I491" s="845">
        <v>17</v>
      </c>
      <c r="J491" s="846"/>
      <c r="K491" s="786">
        <v>0</v>
      </c>
      <c r="L491" s="787"/>
      <c r="M491" s="563"/>
      <c r="N491" s="845">
        <v>31</v>
      </c>
      <c r="O491" s="846"/>
      <c r="P491" s="786">
        <v>0</v>
      </c>
      <c r="Q491" s="787"/>
      <c r="R491" s="563"/>
      <c r="S491" s="784">
        <v>26.84</v>
      </c>
      <c r="T491" s="966"/>
      <c r="U491" s="786">
        <v>0</v>
      </c>
      <c r="V491" s="787"/>
      <c r="W491" s="293"/>
      <c r="X491" s="784">
        <v>21.84</v>
      </c>
      <c r="Y491" s="785"/>
      <c r="Z491" s="786">
        <v>0</v>
      </c>
      <c r="AA491" s="787"/>
      <c r="AB491" s="483"/>
      <c r="AC491" s="485"/>
    </row>
    <row r="492" spans="1:29" s="486" customFormat="1" ht="16.149999999999999" customHeight="1" x14ac:dyDescent="0.2">
      <c r="A492" s="482"/>
      <c r="B492" s="483"/>
      <c r="C492" s="483"/>
      <c r="D492" s="613">
        <f>D491*G492</f>
        <v>264</v>
      </c>
      <c r="E492" s="560"/>
      <c r="F492" s="561" t="s">
        <v>291</v>
      </c>
      <c r="G492" s="565">
        <v>12</v>
      </c>
      <c r="H492" s="563"/>
      <c r="I492" s="613">
        <f>I491*L492</f>
        <v>204</v>
      </c>
      <c r="J492" s="560"/>
      <c r="K492" s="561" t="s">
        <v>291</v>
      </c>
      <c r="L492" s="565">
        <v>12</v>
      </c>
      <c r="M492" s="563"/>
      <c r="N492" s="613">
        <f>N491*Q492</f>
        <v>310</v>
      </c>
      <c r="O492" s="560"/>
      <c r="P492" s="561" t="s">
        <v>291</v>
      </c>
      <c r="Q492" s="565">
        <v>10</v>
      </c>
      <c r="R492" s="563"/>
      <c r="S492" s="613">
        <f>S491*V492</f>
        <v>53.68</v>
      </c>
      <c r="T492" s="560"/>
      <c r="U492" s="561" t="s">
        <v>291</v>
      </c>
      <c r="V492" s="565">
        <v>2</v>
      </c>
      <c r="W492" s="563"/>
      <c r="X492" s="613">
        <f>X491*AA492</f>
        <v>43.68</v>
      </c>
      <c r="Y492" s="560"/>
      <c r="Z492" s="561" t="s">
        <v>291</v>
      </c>
      <c r="AA492" s="565">
        <v>2</v>
      </c>
      <c r="AB492" s="483"/>
      <c r="AC492" s="485"/>
    </row>
    <row r="493" spans="1:29" ht="27" customHeight="1" thickBot="1" x14ac:dyDescent="0.25">
      <c r="A493" s="462"/>
      <c r="B493" s="254"/>
      <c r="C493" s="254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254"/>
    </row>
    <row r="494" spans="1:29" s="280" customFormat="1" ht="27" customHeight="1" thickTop="1" x14ac:dyDescent="0.3">
      <c r="A494" s="478"/>
      <c r="B494" s="279"/>
      <c r="C494" s="279"/>
      <c r="D494" s="850" t="s">
        <v>171</v>
      </c>
      <c r="E494" s="850"/>
      <c r="F494" s="850"/>
      <c r="G494" s="850"/>
      <c r="H494" s="850"/>
      <c r="I494" s="850"/>
      <c r="J494" s="850"/>
      <c r="K494" s="850"/>
      <c r="L494" s="850"/>
      <c r="M494" s="850"/>
      <c r="N494" s="850"/>
      <c r="O494" s="850"/>
      <c r="P494" s="850"/>
      <c r="Q494" s="850"/>
      <c r="R494" s="850"/>
      <c r="S494" s="850"/>
      <c r="T494" s="850"/>
      <c r="U494" s="850"/>
      <c r="V494" s="850"/>
      <c r="W494" s="850"/>
      <c r="X494" s="850"/>
      <c r="Y494" s="850"/>
      <c r="Z494" s="850"/>
      <c r="AA494" s="850"/>
      <c r="AB494" s="279"/>
      <c r="AC494" s="427"/>
    </row>
    <row r="495" spans="1:29" s="202" customFormat="1" ht="27" customHeight="1" x14ac:dyDescent="0.3">
      <c r="A495" s="475"/>
      <c r="B495" s="257"/>
      <c r="C495" s="257"/>
      <c r="D495" s="279"/>
      <c r="E495" s="279"/>
      <c r="F495" s="279"/>
      <c r="G495" s="279"/>
      <c r="H495" s="279"/>
      <c r="I495" s="279"/>
      <c r="J495" s="279"/>
      <c r="K495" s="279"/>
      <c r="L495" s="279"/>
      <c r="M495" s="279"/>
      <c r="N495" s="279"/>
      <c r="O495" s="279"/>
      <c r="P495" s="279"/>
      <c r="Q495" s="279"/>
      <c r="R495" s="279"/>
      <c r="S495" s="279"/>
      <c r="T495" s="279"/>
      <c r="U495" s="279"/>
      <c r="V495" s="279"/>
      <c r="W495" s="279"/>
      <c r="X495" s="279"/>
      <c r="Y495" s="279"/>
      <c r="Z495" s="279"/>
      <c r="AA495" s="279"/>
      <c r="AB495" s="257"/>
      <c r="AC495" s="424"/>
    </row>
    <row r="496" spans="1:29" ht="13.5" customHeight="1" x14ac:dyDescent="0.2">
      <c r="A496" s="462"/>
      <c r="B496" s="254"/>
      <c r="C496" s="254"/>
      <c r="D496" s="788"/>
      <c r="E496" s="789"/>
      <c r="F496" s="789"/>
      <c r="G496" s="790"/>
      <c r="H496" s="293"/>
      <c r="I496" s="979"/>
      <c r="J496" s="980"/>
      <c r="K496" s="980"/>
      <c r="L496" s="981"/>
      <c r="M496" s="293"/>
      <c r="N496" s="788"/>
      <c r="O496" s="789"/>
      <c r="P496" s="789"/>
      <c r="Q496" s="790"/>
      <c r="R496" s="293"/>
      <c r="S496" s="788"/>
      <c r="T496" s="789"/>
      <c r="U496" s="789"/>
      <c r="V496" s="790"/>
      <c r="W496" s="293"/>
      <c r="X496" s="788"/>
      <c r="Y496" s="789"/>
      <c r="Z496" s="789"/>
      <c r="AA496" s="790"/>
      <c r="AB496" s="254"/>
    </row>
    <row r="497" spans="1:29" ht="14.25" x14ac:dyDescent="0.2">
      <c r="A497" s="462"/>
      <c r="B497" s="254"/>
      <c r="C497" s="254"/>
      <c r="D497" s="791"/>
      <c r="E497" s="792"/>
      <c r="F497" s="792"/>
      <c r="G497" s="793"/>
      <c r="H497" s="293"/>
      <c r="I497" s="982"/>
      <c r="J497" s="983"/>
      <c r="K497" s="983"/>
      <c r="L497" s="984"/>
      <c r="M497" s="293"/>
      <c r="N497" s="791"/>
      <c r="O497" s="792"/>
      <c r="P497" s="792"/>
      <c r="Q497" s="793"/>
      <c r="R497" s="293"/>
      <c r="S497" s="791"/>
      <c r="T497" s="792"/>
      <c r="U497" s="792"/>
      <c r="V497" s="793"/>
      <c r="W497" s="293"/>
      <c r="X497" s="791"/>
      <c r="Y497" s="792"/>
      <c r="Z497" s="792"/>
      <c r="AA497" s="793"/>
      <c r="AB497" s="254"/>
    </row>
    <row r="498" spans="1:29" ht="14.25" x14ac:dyDescent="0.2">
      <c r="A498" s="462"/>
      <c r="B498" s="254"/>
      <c r="C498" s="254"/>
      <c r="D498" s="791"/>
      <c r="E498" s="792"/>
      <c r="F498" s="792"/>
      <c r="G498" s="793"/>
      <c r="H498" s="293"/>
      <c r="I498" s="982"/>
      <c r="J498" s="983"/>
      <c r="K498" s="983"/>
      <c r="L498" s="984"/>
      <c r="M498" s="293"/>
      <c r="N498" s="316"/>
      <c r="O498" s="317"/>
      <c r="P498" s="317"/>
      <c r="Q498" s="318"/>
      <c r="R498" s="293"/>
      <c r="S498" s="316"/>
      <c r="T498" s="317"/>
      <c r="U498" s="317"/>
      <c r="V498" s="318"/>
      <c r="W498" s="293"/>
      <c r="X498" s="316"/>
      <c r="Y498" s="317"/>
      <c r="Z498" s="317"/>
      <c r="AA498" s="318"/>
      <c r="AB498" s="254"/>
    </row>
    <row r="499" spans="1:29" ht="14.25" x14ac:dyDescent="0.2">
      <c r="A499" s="462"/>
      <c r="B499" s="254"/>
      <c r="C499" s="254"/>
      <c r="D499" s="791"/>
      <c r="E499" s="792"/>
      <c r="F499" s="792"/>
      <c r="G499" s="793"/>
      <c r="H499" s="293"/>
      <c r="I499" s="982"/>
      <c r="J499" s="983"/>
      <c r="K499" s="983"/>
      <c r="L499" s="984"/>
      <c r="M499" s="293"/>
      <c r="N499" s="791"/>
      <c r="O499" s="792"/>
      <c r="P499" s="792"/>
      <c r="Q499" s="793"/>
      <c r="R499" s="293"/>
      <c r="S499" s="791"/>
      <c r="T499" s="792"/>
      <c r="U499" s="792"/>
      <c r="V499" s="793"/>
      <c r="W499" s="293"/>
      <c r="X499" s="791"/>
      <c r="Y499" s="792"/>
      <c r="Z499" s="792"/>
      <c r="AA499" s="793"/>
      <c r="AB499" s="254"/>
    </row>
    <row r="500" spans="1:29" ht="14.25" x14ac:dyDescent="0.2">
      <c r="A500" s="462"/>
      <c r="B500" s="254"/>
      <c r="C500" s="254"/>
      <c r="D500" s="791"/>
      <c r="E500" s="792"/>
      <c r="F500" s="792"/>
      <c r="G500" s="793"/>
      <c r="H500" s="293"/>
      <c r="I500" s="982"/>
      <c r="J500" s="983"/>
      <c r="K500" s="983"/>
      <c r="L500" s="984"/>
      <c r="M500" s="293"/>
      <c r="N500" s="791"/>
      <c r="O500" s="792"/>
      <c r="P500" s="792"/>
      <c r="Q500" s="793"/>
      <c r="R500" s="293"/>
      <c r="S500" s="791"/>
      <c r="T500" s="792"/>
      <c r="U500" s="792"/>
      <c r="V500" s="793"/>
      <c r="W500" s="293"/>
      <c r="X500" s="791"/>
      <c r="Y500" s="792"/>
      <c r="Z500" s="792"/>
      <c r="AA500" s="793"/>
      <c r="AB500" s="254"/>
    </row>
    <row r="501" spans="1:29" ht="14.25" x14ac:dyDescent="0.2">
      <c r="A501" s="462"/>
      <c r="B501" s="254"/>
      <c r="C501" s="254"/>
      <c r="D501" s="794"/>
      <c r="E501" s="795"/>
      <c r="F501" s="795"/>
      <c r="G501" s="796"/>
      <c r="H501" s="293"/>
      <c r="I501" s="985"/>
      <c r="J501" s="986"/>
      <c r="K501" s="986"/>
      <c r="L501" s="987"/>
      <c r="M501" s="293"/>
      <c r="N501" s="794"/>
      <c r="O501" s="795"/>
      <c r="P501" s="795"/>
      <c r="Q501" s="796"/>
      <c r="R501" s="293"/>
      <c r="S501" s="794"/>
      <c r="T501" s="795"/>
      <c r="U501" s="795"/>
      <c r="V501" s="796"/>
      <c r="W501" s="293"/>
      <c r="X501" s="794"/>
      <c r="Y501" s="795"/>
      <c r="Z501" s="795"/>
      <c r="AA501" s="796"/>
      <c r="AB501" s="254"/>
    </row>
    <row r="502" spans="1:29" ht="15" x14ac:dyDescent="0.25">
      <c r="A502" s="462"/>
      <c r="B502" s="254"/>
      <c r="C502" s="254"/>
      <c r="D502" s="800" t="s">
        <v>206</v>
      </c>
      <c r="E502" s="801"/>
      <c r="F502" s="801"/>
      <c r="G502" s="802"/>
      <c r="H502" s="293"/>
      <c r="I502" s="800" t="s">
        <v>205</v>
      </c>
      <c r="J502" s="801"/>
      <c r="K502" s="801"/>
      <c r="L502" s="802"/>
      <c r="M502" s="293"/>
      <c r="N502" s="800" t="s">
        <v>204</v>
      </c>
      <c r="O502" s="801"/>
      <c r="P502" s="801"/>
      <c r="Q502" s="802"/>
      <c r="R502" s="293"/>
      <c r="S502" s="800" t="s">
        <v>203</v>
      </c>
      <c r="T502" s="801"/>
      <c r="U502" s="801"/>
      <c r="V502" s="802"/>
      <c r="W502" s="293"/>
      <c r="X502" s="800" t="s">
        <v>313</v>
      </c>
      <c r="Y502" s="801"/>
      <c r="Z502" s="801"/>
      <c r="AA502" s="802"/>
      <c r="AB502" s="254"/>
    </row>
    <row r="503" spans="1:29" s="193" customFormat="1" ht="27" customHeight="1" x14ac:dyDescent="0.2">
      <c r="A503" s="465"/>
      <c r="B503" s="262"/>
      <c r="C503" s="262"/>
      <c r="D503" s="766" t="s">
        <v>943</v>
      </c>
      <c r="E503" s="767"/>
      <c r="F503" s="768"/>
      <c r="G503" s="769"/>
      <c r="H503" s="308"/>
      <c r="I503" s="766" t="s">
        <v>942</v>
      </c>
      <c r="J503" s="767"/>
      <c r="K503" s="768"/>
      <c r="L503" s="769"/>
      <c r="M503" s="308"/>
      <c r="N503" s="766" t="s">
        <v>941</v>
      </c>
      <c r="O503" s="767"/>
      <c r="P503" s="768"/>
      <c r="Q503" s="769"/>
      <c r="R503" s="308"/>
      <c r="S503" s="766" t="s">
        <v>939</v>
      </c>
      <c r="T503" s="767"/>
      <c r="U503" s="768"/>
      <c r="V503" s="769"/>
      <c r="W503" s="308"/>
      <c r="X503" s="766" t="s">
        <v>940</v>
      </c>
      <c r="Y503" s="767"/>
      <c r="Z503" s="768"/>
      <c r="AA503" s="769"/>
      <c r="AB503" s="262"/>
      <c r="AC503" s="395"/>
    </row>
    <row r="504" spans="1:29" ht="16.149999999999999" customHeight="1" x14ac:dyDescent="0.2">
      <c r="A504" s="462"/>
      <c r="B504" s="254"/>
      <c r="C504" s="254"/>
      <c r="D504" s="797" t="s">
        <v>922</v>
      </c>
      <c r="E504" s="798"/>
      <c r="F504" s="798"/>
      <c r="G504" s="799"/>
      <c r="H504" s="293"/>
      <c r="I504" s="797" t="s">
        <v>922</v>
      </c>
      <c r="J504" s="798"/>
      <c r="K504" s="798"/>
      <c r="L504" s="799"/>
      <c r="M504" s="293"/>
      <c r="N504" s="797" t="s">
        <v>922</v>
      </c>
      <c r="O504" s="798"/>
      <c r="P504" s="798"/>
      <c r="Q504" s="799"/>
      <c r="R504" s="293"/>
      <c r="S504" s="797" t="s">
        <v>922</v>
      </c>
      <c r="T504" s="798"/>
      <c r="U504" s="798"/>
      <c r="V504" s="799"/>
      <c r="W504" s="293"/>
      <c r="X504" s="797" t="s">
        <v>922</v>
      </c>
      <c r="Y504" s="798"/>
      <c r="Z504" s="798"/>
      <c r="AA504" s="799"/>
      <c r="AB504" s="254"/>
    </row>
    <row r="505" spans="1:29" ht="14.25" x14ac:dyDescent="0.2">
      <c r="A505" s="462"/>
      <c r="B505" s="254"/>
      <c r="C505" s="254"/>
      <c r="D505" s="319"/>
      <c r="E505" s="319"/>
      <c r="F505" s="320"/>
      <c r="G505" s="321"/>
      <c r="H505" s="293"/>
      <c r="I505" s="319"/>
      <c r="J505" s="319"/>
      <c r="K505" s="320"/>
      <c r="L505" s="321"/>
      <c r="M505" s="293"/>
      <c r="N505" s="319"/>
      <c r="O505" s="319"/>
      <c r="P505" s="320"/>
      <c r="Q505" s="321"/>
      <c r="R505" s="293"/>
      <c r="S505" s="319"/>
      <c r="T505" s="319"/>
      <c r="U505" s="320"/>
      <c r="V505" s="321"/>
      <c r="W505" s="293"/>
      <c r="X505" s="319"/>
      <c r="Y505" s="319"/>
      <c r="Z505" s="320"/>
      <c r="AA505" s="321"/>
      <c r="AB505" s="254"/>
    </row>
    <row r="506" spans="1:29" ht="14.25" x14ac:dyDescent="0.2">
      <c r="A506" s="462"/>
      <c r="B506" s="254"/>
      <c r="C506" s="254"/>
      <c r="D506" s="788"/>
      <c r="E506" s="789"/>
      <c r="F506" s="789"/>
      <c r="G506" s="790"/>
      <c r="H506" s="293"/>
      <c r="I506" s="788"/>
      <c r="J506" s="789"/>
      <c r="K506" s="789"/>
      <c r="L506" s="790"/>
      <c r="M506" s="293"/>
      <c r="N506" s="788"/>
      <c r="O506" s="789"/>
      <c r="P506" s="789"/>
      <c r="Q506" s="790"/>
      <c r="R506" s="293"/>
      <c r="S506" s="788"/>
      <c r="T506" s="789"/>
      <c r="U506" s="789"/>
      <c r="V506" s="790"/>
      <c r="W506" s="293"/>
      <c r="X506" s="788"/>
      <c r="Y506" s="789"/>
      <c r="Z506" s="789"/>
      <c r="AA506" s="790"/>
      <c r="AB506" s="254"/>
    </row>
    <row r="507" spans="1:29" ht="14.25" x14ac:dyDescent="0.2">
      <c r="A507" s="462"/>
      <c r="B507" s="254"/>
      <c r="C507" s="254"/>
      <c r="D507" s="939"/>
      <c r="E507" s="940"/>
      <c r="F507" s="940"/>
      <c r="G507" s="941"/>
      <c r="H507" s="293"/>
      <c r="I507" s="791"/>
      <c r="J507" s="792"/>
      <c r="K507" s="792"/>
      <c r="L507" s="793"/>
      <c r="M507" s="293"/>
      <c r="N507" s="791"/>
      <c r="O507" s="792"/>
      <c r="P507" s="792"/>
      <c r="Q507" s="793"/>
      <c r="R507" s="293"/>
      <c r="S507" s="791"/>
      <c r="T507" s="792"/>
      <c r="U507" s="792"/>
      <c r="V507" s="793"/>
      <c r="W507" s="293"/>
      <c r="X507" s="791"/>
      <c r="Y507" s="792"/>
      <c r="Z507" s="792"/>
      <c r="AA507" s="793"/>
      <c r="AB507" s="254"/>
    </row>
    <row r="508" spans="1:29" ht="14.25" x14ac:dyDescent="0.2">
      <c r="A508" s="462"/>
      <c r="B508" s="254"/>
      <c r="C508" s="254"/>
      <c r="D508" s="939"/>
      <c r="E508" s="940"/>
      <c r="F508" s="940"/>
      <c r="G508" s="941"/>
      <c r="H508" s="293"/>
      <c r="I508" s="316"/>
      <c r="J508" s="317"/>
      <c r="K508" s="317"/>
      <c r="L508" s="318"/>
      <c r="M508" s="293"/>
      <c r="N508" s="316"/>
      <c r="O508" s="317"/>
      <c r="P508" s="317"/>
      <c r="Q508" s="318"/>
      <c r="R508" s="293"/>
      <c r="S508" s="722"/>
      <c r="T508" s="723"/>
      <c r="U508" s="723"/>
      <c r="V508" s="724"/>
      <c r="W508" s="293"/>
      <c r="X508" s="756"/>
      <c r="Y508" s="757"/>
      <c r="Z508" s="757"/>
      <c r="AA508" s="758"/>
      <c r="AB508" s="254"/>
    </row>
    <row r="509" spans="1:29" ht="14.25" x14ac:dyDescent="0.2">
      <c r="A509" s="462"/>
      <c r="B509" s="254"/>
      <c r="C509" s="254"/>
      <c r="D509" s="939"/>
      <c r="E509" s="940"/>
      <c r="F509" s="940"/>
      <c r="G509" s="941"/>
      <c r="H509" s="293"/>
      <c r="I509" s="791"/>
      <c r="J509" s="792"/>
      <c r="K509" s="792"/>
      <c r="L509" s="793"/>
      <c r="M509" s="293"/>
      <c r="N509" s="791"/>
      <c r="O509" s="792"/>
      <c r="P509" s="792"/>
      <c r="Q509" s="793"/>
      <c r="R509" s="293"/>
      <c r="S509" s="791"/>
      <c r="T509" s="792"/>
      <c r="U509" s="792"/>
      <c r="V509" s="793"/>
      <c r="W509" s="293"/>
      <c r="X509" s="791"/>
      <c r="Y509" s="792"/>
      <c r="Z509" s="792"/>
      <c r="AA509" s="793"/>
      <c r="AB509" s="254"/>
    </row>
    <row r="510" spans="1:29" ht="14.25" x14ac:dyDescent="0.2">
      <c r="A510" s="462"/>
      <c r="B510" s="254"/>
      <c r="C510" s="254"/>
      <c r="D510" s="939"/>
      <c r="E510" s="940"/>
      <c r="F510" s="940"/>
      <c r="G510" s="941"/>
      <c r="H510" s="293"/>
      <c r="I510" s="791"/>
      <c r="J510" s="792"/>
      <c r="K510" s="792"/>
      <c r="L510" s="793"/>
      <c r="M510" s="293"/>
      <c r="N510" s="791"/>
      <c r="O510" s="792"/>
      <c r="P510" s="792"/>
      <c r="Q510" s="793"/>
      <c r="R510" s="293"/>
      <c r="S510" s="791"/>
      <c r="T510" s="792"/>
      <c r="U510" s="792"/>
      <c r="V510" s="793"/>
      <c r="W510" s="293"/>
      <c r="X510" s="791"/>
      <c r="Y510" s="792"/>
      <c r="Z510" s="792"/>
      <c r="AA510" s="793"/>
      <c r="AB510" s="254"/>
    </row>
    <row r="511" spans="1:29" s="204" customFormat="1" ht="14.25" x14ac:dyDescent="0.2">
      <c r="A511" s="477"/>
      <c r="B511" s="254"/>
      <c r="C511" s="254"/>
      <c r="D511" s="942"/>
      <c r="E511" s="943"/>
      <c r="F511" s="943"/>
      <c r="G511" s="944"/>
      <c r="H511" s="293"/>
      <c r="I511" s="794"/>
      <c r="J511" s="795"/>
      <c r="K511" s="795"/>
      <c r="L511" s="796"/>
      <c r="M511" s="293"/>
      <c r="N511" s="791"/>
      <c r="O511" s="792"/>
      <c r="P511" s="792"/>
      <c r="Q511" s="793"/>
      <c r="R511" s="293"/>
      <c r="S511" s="791"/>
      <c r="T511" s="792"/>
      <c r="U511" s="792"/>
      <c r="V511" s="793"/>
      <c r="W511" s="293"/>
      <c r="X511" s="794"/>
      <c r="Y511" s="795"/>
      <c r="Z511" s="795"/>
      <c r="AA511" s="796"/>
      <c r="AB511" s="254"/>
      <c r="AC511" s="426"/>
    </row>
    <row r="512" spans="1:29" ht="15" x14ac:dyDescent="0.25">
      <c r="A512" s="462"/>
      <c r="B512" s="254"/>
      <c r="C512" s="254"/>
      <c r="D512" s="800" t="s">
        <v>207</v>
      </c>
      <c r="E512" s="801"/>
      <c r="F512" s="801"/>
      <c r="G512" s="802"/>
      <c r="H512" s="293"/>
      <c r="I512" s="800" t="s">
        <v>463</v>
      </c>
      <c r="J512" s="801"/>
      <c r="K512" s="801"/>
      <c r="L512" s="802"/>
      <c r="M512" s="293"/>
      <c r="N512" s="883" t="s">
        <v>462</v>
      </c>
      <c r="O512" s="810"/>
      <c r="P512" s="810"/>
      <c r="Q512" s="884"/>
      <c r="R512" s="293"/>
      <c r="S512" s="883" t="s">
        <v>898</v>
      </c>
      <c r="T512" s="810"/>
      <c r="U512" s="810"/>
      <c r="V512" s="884"/>
      <c r="W512" s="293"/>
      <c r="X512" s="800" t="s">
        <v>937</v>
      </c>
      <c r="Y512" s="801"/>
      <c r="Z512" s="801"/>
      <c r="AA512" s="802"/>
      <c r="AB512" s="254"/>
    </row>
    <row r="513" spans="1:29" s="193" customFormat="1" ht="27" customHeight="1" x14ac:dyDescent="0.2">
      <c r="A513" s="465"/>
      <c r="B513" s="262"/>
      <c r="C513" s="262"/>
      <c r="D513" s="1147" t="s">
        <v>616</v>
      </c>
      <c r="E513" s="1148"/>
      <c r="F513" s="1148"/>
      <c r="G513" s="1149"/>
      <c r="H513" s="308"/>
      <c r="I513" s="851" t="s">
        <v>478</v>
      </c>
      <c r="J513" s="852"/>
      <c r="K513" s="852"/>
      <c r="L513" s="853"/>
      <c r="M513" s="308"/>
      <c r="N513" s="1197" t="s">
        <v>479</v>
      </c>
      <c r="O513" s="848"/>
      <c r="P513" s="848"/>
      <c r="Q513" s="849"/>
      <c r="R513" s="308"/>
      <c r="S513" s="847" t="s">
        <v>923</v>
      </c>
      <c r="T513" s="848"/>
      <c r="U513" s="848"/>
      <c r="V513" s="849"/>
      <c r="W513" s="308"/>
      <c r="X513" s="766" t="s">
        <v>938</v>
      </c>
      <c r="Y513" s="767"/>
      <c r="Z513" s="768"/>
      <c r="AA513" s="769"/>
      <c r="AB513" s="262"/>
      <c r="AC513" s="395"/>
    </row>
    <row r="514" spans="1:29" ht="16.149999999999999" customHeight="1" x14ac:dyDescent="0.25">
      <c r="A514" s="462"/>
      <c r="B514" s="254"/>
      <c r="C514" s="254"/>
      <c r="D514" s="945">
        <v>1950</v>
      </c>
      <c r="E514" s="945"/>
      <c r="F514" s="818">
        <v>0</v>
      </c>
      <c r="G514" s="818"/>
      <c r="H514" s="293"/>
      <c r="I514" s="945">
        <v>3500</v>
      </c>
      <c r="J514" s="945"/>
      <c r="K514" s="818">
        <v>0</v>
      </c>
      <c r="L514" s="818"/>
      <c r="M514" s="293"/>
      <c r="N514" s="819" t="s">
        <v>461</v>
      </c>
      <c r="O514" s="819"/>
      <c r="P514" s="818">
        <v>0</v>
      </c>
      <c r="Q514" s="818"/>
      <c r="R514" s="293"/>
      <c r="S514" s="797" t="s">
        <v>922</v>
      </c>
      <c r="T514" s="798"/>
      <c r="U514" s="798"/>
      <c r="V514" s="799"/>
      <c r="W514" s="293"/>
      <c r="X514" s="797" t="s">
        <v>922</v>
      </c>
      <c r="Y514" s="798"/>
      <c r="Z514" s="798"/>
      <c r="AA514" s="799"/>
      <c r="AB514" s="254"/>
    </row>
    <row r="515" spans="1:29" ht="14.25" x14ac:dyDescent="0.2">
      <c r="A515" s="462"/>
      <c r="B515" s="254"/>
      <c r="C515" s="254"/>
      <c r="D515" s="331"/>
      <c r="E515" s="331"/>
      <c r="F515" s="332"/>
      <c r="G515" s="332"/>
      <c r="H515" s="293"/>
      <c r="I515" s="331"/>
      <c r="J515" s="331"/>
      <c r="K515" s="332"/>
      <c r="L515" s="332"/>
      <c r="M515" s="293"/>
      <c r="N515" s="331"/>
      <c r="O515" s="331"/>
      <c r="P515" s="332"/>
      <c r="Q515" s="332"/>
      <c r="R515" s="293"/>
      <c r="S515" s="331"/>
      <c r="T515" s="331"/>
      <c r="U515" s="332"/>
      <c r="V515" s="332"/>
      <c r="W515" s="293"/>
      <c r="X515" s="331"/>
      <c r="Y515" s="331"/>
      <c r="Z515" s="332"/>
      <c r="AA515" s="332"/>
      <c r="AB515" s="254"/>
    </row>
    <row r="516" spans="1:29" ht="13.5" customHeight="1" x14ac:dyDescent="0.2">
      <c r="A516" s="462"/>
      <c r="B516" s="254"/>
      <c r="C516" s="254"/>
      <c r="D516" s="788"/>
      <c r="E516" s="789"/>
      <c r="F516" s="789"/>
      <c r="G516" s="790"/>
      <c r="H516" s="293"/>
      <c r="I516" s="788"/>
      <c r="J516" s="789"/>
      <c r="K516" s="789"/>
      <c r="L516" s="790"/>
      <c r="M516" s="293"/>
      <c r="N516" s="803"/>
      <c r="O516" s="804"/>
      <c r="P516" s="804"/>
      <c r="Q516" s="805"/>
      <c r="R516" s="293"/>
      <c r="S516" s="803"/>
      <c r="T516" s="804"/>
      <c r="U516" s="804"/>
      <c r="V516" s="805"/>
      <c r="W516" s="293"/>
      <c r="X516" s="803"/>
      <c r="Y516" s="804"/>
      <c r="Z516" s="804"/>
      <c r="AA516" s="805"/>
      <c r="AB516" s="254"/>
    </row>
    <row r="517" spans="1:29" ht="14.25" x14ac:dyDescent="0.2">
      <c r="A517" s="462"/>
      <c r="B517" s="254"/>
      <c r="C517" s="254"/>
      <c r="D517" s="939"/>
      <c r="E517" s="940"/>
      <c r="F517" s="940"/>
      <c r="G517" s="941"/>
      <c r="H517" s="293"/>
      <c r="I517" s="939"/>
      <c r="J517" s="940"/>
      <c r="K517" s="940"/>
      <c r="L517" s="941"/>
      <c r="M517" s="293"/>
      <c r="N517" s="830"/>
      <c r="O517" s="831"/>
      <c r="P517" s="831"/>
      <c r="Q517" s="832"/>
      <c r="R517" s="293"/>
      <c r="S517" s="830"/>
      <c r="T517" s="831"/>
      <c r="U517" s="831"/>
      <c r="V517" s="832"/>
      <c r="W517" s="293"/>
      <c r="X517" s="830"/>
      <c r="Y517" s="831"/>
      <c r="Z517" s="831"/>
      <c r="AA517" s="832"/>
      <c r="AB517" s="254"/>
    </row>
    <row r="518" spans="1:29" ht="14.25" x14ac:dyDescent="0.2">
      <c r="A518" s="462"/>
      <c r="B518" s="254"/>
      <c r="C518" s="254"/>
      <c r="D518" s="939"/>
      <c r="E518" s="940"/>
      <c r="F518" s="940"/>
      <c r="G518" s="941"/>
      <c r="H518" s="293"/>
      <c r="I518" s="939"/>
      <c r="J518" s="940"/>
      <c r="K518" s="940"/>
      <c r="L518" s="941"/>
      <c r="M518" s="293"/>
      <c r="N518" s="830"/>
      <c r="O518" s="831"/>
      <c r="P518" s="831"/>
      <c r="Q518" s="832"/>
      <c r="R518" s="293"/>
      <c r="S518" s="830"/>
      <c r="T518" s="831"/>
      <c r="U518" s="831"/>
      <c r="V518" s="832"/>
      <c r="W518" s="293"/>
      <c r="X518" s="830"/>
      <c r="Y518" s="831"/>
      <c r="Z518" s="831"/>
      <c r="AA518" s="832"/>
      <c r="AB518" s="254"/>
    </row>
    <row r="519" spans="1:29" ht="14.25" x14ac:dyDescent="0.2">
      <c r="A519" s="462"/>
      <c r="B519" s="254"/>
      <c r="C519" s="254"/>
      <c r="D519" s="939"/>
      <c r="E519" s="940"/>
      <c r="F519" s="940"/>
      <c r="G519" s="941"/>
      <c r="H519" s="293"/>
      <c r="I519" s="939"/>
      <c r="J519" s="940"/>
      <c r="K519" s="940"/>
      <c r="L519" s="941"/>
      <c r="M519" s="293"/>
      <c r="N519" s="830"/>
      <c r="O519" s="831"/>
      <c r="P519" s="831"/>
      <c r="Q519" s="832"/>
      <c r="R519" s="293"/>
      <c r="S519" s="830"/>
      <c r="T519" s="831"/>
      <c r="U519" s="831"/>
      <c r="V519" s="832"/>
      <c r="W519" s="293"/>
      <c r="X519" s="830"/>
      <c r="Y519" s="831"/>
      <c r="Z519" s="831"/>
      <c r="AA519" s="832"/>
      <c r="AB519" s="254"/>
    </row>
    <row r="520" spans="1:29" ht="14.25" x14ac:dyDescent="0.2">
      <c r="A520" s="462"/>
      <c r="B520" s="254"/>
      <c r="C520" s="254"/>
      <c r="D520" s="939"/>
      <c r="E520" s="940"/>
      <c r="F520" s="940"/>
      <c r="G520" s="941"/>
      <c r="H520" s="293"/>
      <c r="I520" s="939"/>
      <c r="J520" s="940"/>
      <c r="K520" s="940"/>
      <c r="L520" s="941"/>
      <c r="M520" s="293"/>
      <c r="N520" s="830"/>
      <c r="O520" s="831"/>
      <c r="P520" s="831"/>
      <c r="Q520" s="832"/>
      <c r="R520" s="293"/>
      <c r="S520" s="830"/>
      <c r="T520" s="831"/>
      <c r="U520" s="831"/>
      <c r="V520" s="832"/>
      <c r="W520" s="293"/>
      <c r="X520" s="830"/>
      <c r="Y520" s="831"/>
      <c r="Z520" s="831"/>
      <c r="AA520" s="832"/>
      <c r="AB520" s="254"/>
    </row>
    <row r="521" spans="1:29" ht="14.25" x14ac:dyDescent="0.2">
      <c r="A521" s="462"/>
      <c r="B521" s="254"/>
      <c r="C521" s="254"/>
      <c r="D521" s="942"/>
      <c r="E521" s="943"/>
      <c r="F521" s="943"/>
      <c r="G521" s="944"/>
      <c r="H521" s="293"/>
      <c r="I521" s="942"/>
      <c r="J521" s="943"/>
      <c r="K521" s="943"/>
      <c r="L521" s="944"/>
      <c r="M521" s="293"/>
      <c r="N521" s="833"/>
      <c r="O521" s="834"/>
      <c r="P521" s="834"/>
      <c r="Q521" s="835"/>
      <c r="R521" s="293"/>
      <c r="S521" s="833"/>
      <c r="T521" s="834"/>
      <c r="U521" s="834"/>
      <c r="V521" s="835"/>
      <c r="W521" s="293"/>
      <c r="X521" s="833"/>
      <c r="Y521" s="834"/>
      <c r="Z521" s="834"/>
      <c r="AA521" s="835"/>
      <c r="AB521" s="254"/>
    </row>
    <row r="522" spans="1:29" ht="15" x14ac:dyDescent="0.25">
      <c r="A522" s="462"/>
      <c r="B522" s="254"/>
      <c r="C522" s="254"/>
      <c r="D522" s="800" t="s">
        <v>210</v>
      </c>
      <c r="E522" s="801"/>
      <c r="F522" s="801"/>
      <c r="G522" s="802"/>
      <c r="H522" s="293"/>
      <c r="I522" s="800" t="s">
        <v>211</v>
      </c>
      <c r="J522" s="801"/>
      <c r="K522" s="801"/>
      <c r="L522" s="802"/>
      <c r="M522" s="293"/>
      <c r="N522" s="800" t="s">
        <v>212</v>
      </c>
      <c r="O522" s="801"/>
      <c r="P522" s="801"/>
      <c r="Q522" s="802"/>
      <c r="R522" s="293"/>
      <c r="S522" s="800" t="s">
        <v>442</v>
      </c>
      <c r="T522" s="801"/>
      <c r="U522" s="801"/>
      <c r="V522" s="802"/>
      <c r="W522" s="293"/>
      <c r="X522" s="800" t="s">
        <v>441</v>
      </c>
      <c r="Y522" s="801"/>
      <c r="Z522" s="801"/>
      <c r="AA522" s="802"/>
      <c r="AB522" s="254"/>
    </row>
    <row r="523" spans="1:29" s="193" customFormat="1" ht="27" customHeight="1" x14ac:dyDescent="0.2">
      <c r="A523" s="465"/>
      <c r="B523" s="262"/>
      <c r="C523" s="262"/>
      <c r="D523" s="766" t="s">
        <v>110</v>
      </c>
      <c r="E523" s="767"/>
      <c r="F523" s="768"/>
      <c r="G523" s="769"/>
      <c r="H523" s="308"/>
      <c r="I523" s="766" t="s">
        <v>619</v>
      </c>
      <c r="J523" s="767"/>
      <c r="K523" s="768"/>
      <c r="L523" s="769"/>
      <c r="M523" s="308"/>
      <c r="N523" s="766" t="s">
        <v>470</v>
      </c>
      <c r="O523" s="767"/>
      <c r="P523" s="768"/>
      <c r="Q523" s="769"/>
      <c r="R523" s="308"/>
      <c r="S523" s="766" t="s">
        <v>620</v>
      </c>
      <c r="T523" s="767"/>
      <c r="U523" s="768"/>
      <c r="V523" s="769"/>
      <c r="W523" s="308"/>
      <c r="X523" s="766" t="s">
        <v>471</v>
      </c>
      <c r="Y523" s="767"/>
      <c r="Z523" s="768"/>
      <c r="AA523" s="769"/>
      <c r="AB523" s="262"/>
      <c r="AC523" s="395"/>
    </row>
    <row r="524" spans="1:29" ht="16.149999999999999" customHeight="1" x14ac:dyDescent="0.25">
      <c r="A524" s="462"/>
      <c r="B524" s="254"/>
      <c r="C524" s="254"/>
      <c r="D524" s="806">
        <v>40</v>
      </c>
      <c r="E524" s="807"/>
      <c r="F524" s="808">
        <v>0</v>
      </c>
      <c r="G524" s="808"/>
      <c r="H524" s="293"/>
      <c r="I524" s="819">
        <v>20</v>
      </c>
      <c r="J524" s="864"/>
      <c r="K524" s="808">
        <v>0</v>
      </c>
      <c r="L524" s="808"/>
      <c r="M524" s="293"/>
      <c r="N524" s="806">
        <v>20</v>
      </c>
      <c r="O524" s="807"/>
      <c r="P524" s="808">
        <v>0</v>
      </c>
      <c r="Q524" s="808"/>
      <c r="R524" s="293"/>
      <c r="S524" s="806">
        <v>325</v>
      </c>
      <c r="T524" s="807"/>
      <c r="U524" s="808">
        <v>0</v>
      </c>
      <c r="V524" s="808"/>
      <c r="W524" s="333"/>
      <c r="X524" s="806">
        <v>40</v>
      </c>
      <c r="Y524" s="807"/>
      <c r="Z524" s="808">
        <v>0</v>
      </c>
      <c r="AA524" s="808"/>
      <c r="AB524" s="254"/>
    </row>
    <row r="525" spans="1:29" ht="14.25" x14ac:dyDescent="0.2">
      <c r="A525" s="462"/>
      <c r="B525" s="254"/>
      <c r="C525" s="254"/>
      <c r="D525" s="323"/>
      <c r="E525" s="324"/>
      <c r="F525" s="325"/>
      <c r="G525" s="326"/>
      <c r="H525" s="293"/>
      <c r="I525" s="323"/>
      <c r="J525" s="324"/>
      <c r="K525" s="325"/>
      <c r="L525" s="326"/>
      <c r="M525" s="293"/>
      <c r="N525" s="327"/>
      <c r="O525" s="330"/>
      <c r="P525" s="328"/>
      <c r="Q525" s="329"/>
      <c r="R525" s="293"/>
      <c r="S525" s="319"/>
      <c r="T525" s="319"/>
      <c r="U525" s="320"/>
      <c r="V525" s="321"/>
      <c r="W525" s="293"/>
      <c r="X525" s="319"/>
      <c r="Y525" s="319"/>
      <c r="Z525" s="320"/>
      <c r="AA525" s="321"/>
      <c r="AB525" s="254"/>
    </row>
    <row r="526" spans="1:29" ht="13.9" customHeight="1" x14ac:dyDescent="0.2">
      <c r="A526" s="462"/>
      <c r="B526" s="254"/>
      <c r="C526" s="254"/>
      <c r="D526" s="788"/>
      <c r="E526" s="789"/>
      <c r="F526" s="789"/>
      <c r="G526" s="790"/>
      <c r="H526" s="293"/>
      <c r="I526" s="788"/>
      <c r="J526" s="789"/>
      <c r="K526" s="789"/>
      <c r="L526" s="790"/>
      <c r="M526" s="293"/>
      <c r="N526" s="788"/>
      <c r="O526" s="789"/>
      <c r="P526" s="789"/>
      <c r="Q526" s="790"/>
      <c r="R526" s="293"/>
      <c r="S526" s="788"/>
      <c r="T526" s="789"/>
      <c r="U526" s="789"/>
      <c r="V526" s="790"/>
      <c r="W526" s="293"/>
      <c r="X526" s="788"/>
      <c r="Y526" s="789"/>
      <c r="Z526" s="789"/>
      <c r="AA526" s="790"/>
      <c r="AB526" s="254"/>
    </row>
    <row r="527" spans="1:29" ht="14.25" x14ac:dyDescent="0.2">
      <c r="A527" s="462"/>
      <c r="B527" s="254"/>
      <c r="C527" s="254"/>
      <c r="D527" s="791"/>
      <c r="E527" s="792"/>
      <c r="F527" s="792"/>
      <c r="G527" s="793"/>
      <c r="H527" s="293"/>
      <c r="I527" s="939"/>
      <c r="J527" s="940"/>
      <c r="K527" s="940"/>
      <c r="L527" s="941"/>
      <c r="M527" s="293"/>
      <c r="N527" s="791"/>
      <c r="O527" s="792"/>
      <c r="P527" s="792"/>
      <c r="Q527" s="793"/>
      <c r="R527" s="293"/>
      <c r="S527" s="791"/>
      <c r="T527" s="792"/>
      <c r="U527" s="792"/>
      <c r="V527" s="793"/>
      <c r="W527" s="293"/>
      <c r="X527" s="791"/>
      <c r="Y527" s="792"/>
      <c r="Z527" s="792"/>
      <c r="AA527" s="793"/>
      <c r="AB527" s="254"/>
    </row>
    <row r="528" spans="1:29" ht="14.25" x14ac:dyDescent="0.2">
      <c r="A528" s="462"/>
      <c r="B528" s="254"/>
      <c r="C528" s="254"/>
      <c r="D528" s="316"/>
      <c r="E528" s="317"/>
      <c r="F528" s="317"/>
      <c r="G528" s="318"/>
      <c r="H528" s="293"/>
      <c r="I528" s="939"/>
      <c r="J528" s="940"/>
      <c r="K528" s="940"/>
      <c r="L528" s="941"/>
      <c r="M528" s="293"/>
      <c r="N528" s="316"/>
      <c r="O528" s="317"/>
      <c r="P528" s="317"/>
      <c r="Q528" s="318"/>
      <c r="R528" s="293"/>
      <c r="S528" s="316"/>
      <c r="T528" s="317"/>
      <c r="U528" s="317"/>
      <c r="V528" s="318"/>
      <c r="W528" s="293"/>
      <c r="X528" s="756"/>
      <c r="Y528" s="757"/>
      <c r="Z528" s="757"/>
      <c r="AA528" s="758"/>
      <c r="AB528" s="254"/>
    </row>
    <row r="529" spans="1:29" ht="14.25" x14ac:dyDescent="0.2">
      <c r="A529" s="462"/>
      <c r="B529" s="254"/>
      <c r="C529" s="254"/>
      <c r="D529" s="791"/>
      <c r="E529" s="792"/>
      <c r="F529" s="792"/>
      <c r="G529" s="793"/>
      <c r="H529" s="293"/>
      <c r="I529" s="939"/>
      <c r="J529" s="940"/>
      <c r="K529" s="940"/>
      <c r="L529" s="941"/>
      <c r="M529" s="293"/>
      <c r="N529" s="791"/>
      <c r="O529" s="792"/>
      <c r="P529" s="792"/>
      <c r="Q529" s="793"/>
      <c r="R529" s="293"/>
      <c r="S529" s="791"/>
      <c r="T529" s="792"/>
      <c r="U529" s="792"/>
      <c r="V529" s="793"/>
      <c r="W529" s="293"/>
      <c r="X529" s="791"/>
      <c r="Y529" s="792"/>
      <c r="Z529" s="792"/>
      <c r="AA529" s="793"/>
      <c r="AB529" s="254"/>
    </row>
    <row r="530" spans="1:29" ht="14.25" x14ac:dyDescent="0.2">
      <c r="A530" s="462"/>
      <c r="B530" s="254"/>
      <c r="C530" s="254"/>
      <c r="D530" s="791"/>
      <c r="E530" s="792"/>
      <c r="F530" s="792"/>
      <c r="G530" s="793"/>
      <c r="H530" s="293"/>
      <c r="I530" s="939"/>
      <c r="J530" s="940"/>
      <c r="K530" s="940"/>
      <c r="L530" s="941"/>
      <c r="M530" s="293"/>
      <c r="N530" s="791"/>
      <c r="O530" s="792"/>
      <c r="P530" s="792"/>
      <c r="Q530" s="793"/>
      <c r="R530" s="293"/>
      <c r="S530" s="791"/>
      <c r="T530" s="792"/>
      <c r="U530" s="792"/>
      <c r="V530" s="793"/>
      <c r="W530" s="293"/>
      <c r="X530" s="791"/>
      <c r="Y530" s="792"/>
      <c r="Z530" s="792"/>
      <c r="AA530" s="793"/>
      <c r="AB530" s="254"/>
    </row>
    <row r="531" spans="1:29" ht="14.25" x14ac:dyDescent="0.2">
      <c r="A531" s="462"/>
      <c r="B531" s="254"/>
      <c r="C531" s="254"/>
      <c r="D531" s="794"/>
      <c r="E531" s="795"/>
      <c r="F531" s="795"/>
      <c r="G531" s="796"/>
      <c r="H531" s="293"/>
      <c r="I531" s="942"/>
      <c r="J531" s="943"/>
      <c r="K531" s="943"/>
      <c r="L531" s="944"/>
      <c r="M531" s="293"/>
      <c r="N531" s="794"/>
      <c r="O531" s="795"/>
      <c r="P531" s="795"/>
      <c r="Q531" s="796"/>
      <c r="R531" s="293"/>
      <c r="S531" s="794"/>
      <c r="T531" s="795"/>
      <c r="U531" s="795"/>
      <c r="V531" s="796"/>
      <c r="W531" s="293"/>
      <c r="X531" s="794"/>
      <c r="Y531" s="795"/>
      <c r="Z531" s="795"/>
      <c r="AA531" s="796"/>
      <c r="AB531" s="254"/>
    </row>
    <row r="532" spans="1:29" ht="13.9" customHeight="1" x14ac:dyDescent="0.25">
      <c r="A532" s="462"/>
      <c r="B532" s="254"/>
      <c r="C532" s="254"/>
      <c r="D532" s="800" t="s">
        <v>209</v>
      </c>
      <c r="E532" s="801"/>
      <c r="F532" s="801"/>
      <c r="G532" s="802"/>
      <c r="H532" s="293"/>
      <c r="I532" s="857" t="s">
        <v>213</v>
      </c>
      <c r="J532" s="858"/>
      <c r="K532" s="858"/>
      <c r="L532" s="859"/>
      <c r="M532" s="293"/>
      <c r="N532" s="809" t="s">
        <v>208</v>
      </c>
      <c r="O532" s="810"/>
      <c r="P532" s="810"/>
      <c r="Q532" s="811"/>
      <c r="R532" s="293"/>
      <c r="S532" s="1174" t="s">
        <v>412</v>
      </c>
      <c r="T532" s="1174"/>
      <c r="U532" s="1174"/>
      <c r="V532" s="1174"/>
      <c r="W532" s="293"/>
      <c r="X532" s="809" t="s">
        <v>944</v>
      </c>
      <c r="Y532" s="810"/>
      <c r="Z532" s="810"/>
      <c r="AA532" s="811"/>
      <c r="AB532" s="254"/>
    </row>
    <row r="533" spans="1:29" ht="27" customHeight="1" x14ac:dyDescent="0.2">
      <c r="A533" s="462"/>
      <c r="B533" s="254"/>
      <c r="C533" s="254"/>
      <c r="D533" s="766" t="s">
        <v>622</v>
      </c>
      <c r="E533" s="767"/>
      <c r="F533" s="768"/>
      <c r="G533" s="769"/>
      <c r="H533" s="308"/>
      <c r="I533" s="766" t="s">
        <v>621</v>
      </c>
      <c r="J533" s="767"/>
      <c r="K533" s="768"/>
      <c r="L533" s="769"/>
      <c r="M533" s="293"/>
      <c r="N533" s="766" t="s">
        <v>617</v>
      </c>
      <c r="O533" s="767"/>
      <c r="P533" s="768"/>
      <c r="Q533" s="769"/>
      <c r="R533" s="308"/>
      <c r="S533" s="1161" t="s">
        <v>618</v>
      </c>
      <c r="T533" s="1162"/>
      <c r="U533" s="1163"/>
      <c r="V533" s="1164"/>
      <c r="W533" s="293"/>
      <c r="X533" s="766" t="s">
        <v>949</v>
      </c>
      <c r="Y533" s="767"/>
      <c r="Z533" s="768"/>
      <c r="AA533" s="769"/>
      <c r="AB533" s="254"/>
    </row>
    <row r="534" spans="1:29" ht="16.149999999999999" customHeight="1" x14ac:dyDescent="0.25">
      <c r="A534" s="462"/>
      <c r="B534" s="254"/>
      <c r="C534" s="254"/>
      <c r="D534" s="819">
        <v>38</v>
      </c>
      <c r="E534" s="864"/>
      <c r="F534" s="808">
        <v>0</v>
      </c>
      <c r="G534" s="808"/>
      <c r="H534" s="293"/>
      <c r="I534" s="819">
        <v>10</v>
      </c>
      <c r="J534" s="864"/>
      <c r="K534" s="808">
        <v>0</v>
      </c>
      <c r="L534" s="808"/>
      <c r="M534" s="293"/>
      <c r="N534" s="770">
        <v>9</v>
      </c>
      <c r="O534" s="771"/>
      <c r="P534" s="772">
        <v>0</v>
      </c>
      <c r="Q534" s="773"/>
      <c r="R534" s="293"/>
      <c r="S534" s="819">
        <v>30</v>
      </c>
      <c r="T534" s="864"/>
      <c r="U534" s="808">
        <v>0</v>
      </c>
      <c r="V534" s="808"/>
      <c r="W534" s="293"/>
      <c r="X534" s="770">
        <v>9.75</v>
      </c>
      <c r="Y534" s="771"/>
      <c r="Z534" s="772">
        <v>0</v>
      </c>
      <c r="AA534" s="773"/>
      <c r="AB534" s="254"/>
    </row>
    <row r="535" spans="1:29" ht="27" customHeight="1" x14ac:dyDescent="0.2">
      <c r="A535" s="462"/>
      <c r="B535" s="254"/>
      <c r="C535" s="254"/>
      <c r="D535" s="311"/>
      <c r="E535" s="298"/>
      <c r="F535" s="310"/>
      <c r="G535" s="300"/>
      <c r="H535" s="290"/>
      <c r="I535" s="311"/>
      <c r="J535" s="298"/>
      <c r="K535" s="310"/>
      <c r="L535" s="300"/>
      <c r="M535" s="290"/>
      <c r="N535" s="311"/>
      <c r="O535" s="298"/>
      <c r="P535" s="310"/>
      <c r="Q535" s="300"/>
      <c r="R535" s="290"/>
      <c r="S535" s="305"/>
      <c r="T535" s="305"/>
      <c r="U535" s="315"/>
      <c r="V535" s="306"/>
      <c r="W535" s="290"/>
      <c r="X535" s="305"/>
      <c r="Y535" s="305"/>
      <c r="Z535" s="315"/>
      <c r="AA535" s="306"/>
      <c r="AB535" s="254"/>
    </row>
    <row r="536" spans="1:29" s="480" customFormat="1" ht="27" customHeight="1" x14ac:dyDescent="0.25">
      <c r="B536" s="270"/>
      <c r="C536" s="270"/>
      <c r="D536" s="622"/>
      <c r="E536" s="622"/>
      <c r="F536" s="623"/>
      <c r="G536" s="623"/>
      <c r="H536" s="624"/>
      <c r="I536" s="622"/>
      <c r="J536" s="622"/>
      <c r="K536" s="623"/>
      <c r="L536" s="623"/>
      <c r="M536" s="624"/>
      <c r="N536" s="622"/>
      <c r="O536" s="622"/>
      <c r="P536" s="623"/>
      <c r="Q536" s="623"/>
      <c r="R536" s="624"/>
      <c r="S536" s="622"/>
      <c r="T536" s="622"/>
      <c r="U536" s="623"/>
      <c r="V536" s="623"/>
      <c r="W536" s="624"/>
      <c r="X536" s="622"/>
      <c r="Y536" s="622"/>
      <c r="Z536" s="623"/>
      <c r="AA536" s="623"/>
      <c r="AB536" s="270"/>
      <c r="AC536" s="270"/>
    </row>
    <row r="537" spans="1:29" s="281" customFormat="1" ht="27" customHeight="1" x14ac:dyDescent="0.3">
      <c r="B537" s="440"/>
      <c r="C537" s="1172"/>
      <c r="D537" s="1173"/>
      <c r="E537" s="1172"/>
      <c r="F537" s="1172"/>
      <c r="G537" s="1172"/>
      <c r="H537" s="1172"/>
      <c r="I537" s="1172"/>
      <c r="J537" s="1172"/>
      <c r="K537" s="1172"/>
      <c r="L537" s="1172"/>
      <c r="M537" s="1172"/>
      <c r="N537" s="1172"/>
      <c r="O537" s="1172"/>
      <c r="P537" s="1172"/>
      <c r="Q537" s="1172"/>
      <c r="R537" s="1172"/>
      <c r="S537" s="1172"/>
      <c r="T537" s="1172"/>
      <c r="U537" s="1172"/>
      <c r="V537" s="1172"/>
      <c r="W537" s="1172"/>
      <c r="X537" s="1172"/>
      <c r="Y537" s="1172"/>
      <c r="Z537" s="1172"/>
      <c r="AA537" s="1172"/>
      <c r="AB537" s="440"/>
      <c r="AC537" s="428"/>
    </row>
    <row r="538" spans="1:29" s="205" customFormat="1" ht="15" x14ac:dyDescent="0.25">
      <c r="B538" s="429"/>
      <c r="C538" s="429"/>
      <c r="D538" s="441"/>
      <c r="E538" s="1211"/>
      <c r="F538" s="1211"/>
      <c r="G538" s="1211"/>
      <c r="H538" s="1211"/>
      <c r="I538" s="1211"/>
      <c r="J538" s="1211"/>
      <c r="K538" s="1211"/>
      <c r="L538" s="1211"/>
      <c r="M538" s="1211"/>
      <c r="N538" s="1211"/>
      <c r="O538" s="1211"/>
      <c r="P538" s="1211"/>
      <c r="Q538" s="441"/>
      <c r="R538" s="442"/>
      <c r="S538" s="441"/>
      <c r="T538" s="443"/>
      <c r="U538" s="443"/>
      <c r="V538" s="443"/>
      <c r="W538" s="443"/>
      <c r="X538" s="443"/>
      <c r="Y538" s="443"/>
      <c r="Z538" s="443"/>
      <c r="AA538" s="443"/>
      <c r="AB538" s="443"/>
      <c r="AC538" s="429"/>
    </row>
    <row r="539" spans="1:29" s="205" customFormat="1" ht="18.75" x14ac:dyDescent="0.2">
      <c r="B539" s="444"/>
      <c r="C539" s="1231"/>
      <c r="D539" s="1231"/>
      <c r="E539" s="1231"/>
      <c r="F539" s="1231"/>
      <c r="G539" s="1231"/>
      <c r="H539" s="1231"/>
      <c r="I539" s="1231"/>
      <c r="J539" s="1231"/>
      <c r="K539" s="1231"/>
      <c r="L539" s="1231"/>
      <c r="M539" s="1231"/>
      <c r="N539" s="1231"/>
      <c r="O539" s="1231"/>
      <c r="P539" s="1231"/>
      <c r="Q539" s="1231"/>
      <c r="R539" s="1231"/>
      <c r="S539" s="1231"/>
      <c r="T539" s="1231"/>
      <c r="U539" s="1231"/>
      <c r="V539" s="1231"/>
      <c r="W539" s="1231"/>
      <c r="X539" s="1231"/>
      <c r="Y539" s="1231"/>
      <c r="Z539" s="1231"/>
      <c r="AA539" s="1231"/>
      <c r="AB539" s="444"/>
      <c r="AC539" s="429"/>
    </row>
    <row r="540" spans="1:29" s="205" customFormat="1" ht="5.0999999999999996" customHeight="1" x14ac:dyDescent="0.2">
      <c r="B540" s="444"/>
      <c r="C540" s="444"/>
      <c r="D540" s="445"/>
      <c r="E540" s="445"/>
      <c r="F540" s="445"/>
      <c r="G540" s="445"/>
      <c r="H540" s="445"/>
      <c r="I540" s="445"/>
      <c r="J540" s="445"/>
      <c r="K540" s="445"/>
      <c r="L540" s="445"/>
      <c r="M540" s="445"/>
      <c r="N540" s="445"/>
      <c r="O540" s="445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29"/>
    </row>
    <row r="541" spans="1:29" s="205" customFormat="1" ht="22.5" customHeight="1" x14ac:dyDescent="0.3">
      <c r="B541" s="446"/>
      <c r="C541" s="446"/>
      <c r="D541" s="1171"/>
      <c r="E541" s="1171"/>
      <c r="F541" s="1171"/>
      <c r="G541" s="1171"/>
      <c r="H541" s="1171"/>
      <c r="I541" s="1171"/>
      <c r="J541" s="1171"/>
      <c r="K541" s="1171"/>
      <c r="L541" s="1171"/>
      <c r="M541" s="1171"/>
      <c r="N541" s="1171"/>
      <c r="O541" s="1171"/>
      <c r="P541" s="1171"/>
      <c r="Q541" s="1171"/>
      <c r="R541" s="1171"/>
      <c r="S541" s="1171"/>
      <c r="T541" s="1171"/>
      <c r="U541" s="1171"/>
      <c r="V541" s="1171"/>
      <c r="W541" s="1171"/>
      <c r="X541" s="1171"/>
      <c r="Y541" s="1171"/>
      <c r="Z541" s="1171"/>
      <c r="AA541" s="1171"/>
      <c r="AB541" s="446"/>
      <c r="AC541" s="429"/>
    </row>
    <row r="542" spans="1:29" s="205" customFormat="1" ht="27" customHeight="1" x14ac:dyDescent="0.3">
      <c r="B542" s="446"/>
      <c r="C542" s="446"/>
      <c r="D542" s="450"/>
      <c r="E542" s="450"/>
      <c r="F542" s="450"/>
      <c r="G542" s="450"/>
      <c r="H542" s="450"/>
      <c r="I542" s="450"/>
      <c r="J542" s="450"/>
      <c r="K542" s="450"/>
      <c r="L542" s="450"/>
      <c r="M542" s="450"/>
      <c r="N542" s="450"/>
      <c r="O542" s="450"/>
      <c r="P542" s="450"/>
      <c r="Q542" s="450"/>
      <c r="R542" s="450"/>
      <c r="S542" s="450"/>
      <c r="T542" s="450"/>
      <c r="U542" s="450"/>
      <c r="V542" s="450"/>
      <c r="W542" s="450"/>
      <c r="X542" s="450"/>
      <c r="Y542" s="450"/>
      <c r="Z542" s="450"/>
      <c r="AA542" s="450"/>
      <c r="AB542" s="446"/>
      <c r="AC542" s="429"/>
    </row>
    <row r="543" spans="1:29" s="205" customFormat="1" ht="27" customHeight="1" x14ac:dyDescent="0.2">
      <c r="B543" s="1209" t="s">
        <v>485</v>
      </c>
      <c r="C543" s="1209"/>
      <c r="D543" s="1209"/>
      <c r="E543" s="1209"/>
      <c r="F543" s="1209"/>
      <c r="G543" s="1209"/>
      <c r="H543" s="1209"/>
      <c r="I543" s="1209"/>
      <c r="J543" s="1209"/>
      <c r="K543" s="1209"/>
      <c r="L543" s="1209"/>
      <c r="M543" s="1209"/>
      <c r="N543" s="1209"/>
      <c r="O543" s="1209"/>
      <c r="P543" s="1209"/>
      <c r="Q543" s="1209"/>
      <c r="R543" s="448"/>
      <c r="S543" s="1210" t="s">
        <v>486</v>
      </c>
      <c r="T543" s="1210"/>
      <c r="U543" s="1210"/>
      <c r="V543" s="1210"/>
      <c r="W543" s="1210"/>
      <c r="X543" s="1210"/>
      <c r="Y543" s="1210"/>
      <c r="Z543" s="1210"/>
      <c r="AA543" s="1210"/>
      <c r="AB543" s="1210"/>
      <c r="AC543" s="429"/>
    </row>
    <row r="544" spans="1:29" s="486" customFormat="1" ht="27" customHeight="1" x14ac:dyDescent="0.2">
      <c r="B544" s="1150" t="s">
        <v>487</v>
      </c>
      <c r="C544" s="1150"/>
      <c r="D544" s="1150"/>
      <c r="E544" s="1150"/>
      <c r="F544" s="1150"/>
      <c r="G544" s="1150"/>
      <c r="H544" s="1216"/>
      <c r="I544" s="1217"/>
      <c r="J544" s="1217"/>
      <c r="K544" s="1217"/>
      <c r="L544" s="1217"/>
      <c r="M544" s="1217"/>
      <c r="N544" s="1217"/>
      <c r="O544" s="1217"/>
      <c r="P544" s="1217"/>
      <c r="Q544" s="1218"/>
      <c r="R544" s="449"/>
      <c r="S544" s="1191" t="s">
        <v>13</v>
      </c>
      <c r="T544" s="1192"/>
      <c r="U544" s="1192"/>
      <c r="V544" s="1192"/>
      <c r="W544" s="1192"/>
      <c r="X544" s="1193"/>
      <c r="Y544" s="1158">
        <f>Resume!O4</f>
        <v>208</v>
      </c>
      <c r="Z544" s="1159"/>
      <c r="AA544" s="1159"/>
      <c r="AB544" s="1159"/>
      <c r="AC544" s="485"/>
    </row>
    <row r="545" spans="2:29" s="486" customFormat="1" ht="27" customHeight="1" x14ac:dyDescent="0.2">
      <c r="B545" s="1150" t="s">
        <v>488</v>
      </c>
      <c r="C545" s="1150"/>
      <c r="D545" s="1150"/>
      <c r="E545" s="1150"/>
      <c r="F545" s="1150"/>
      <c r="G545" s="1150"/>
      <c r="H545" s="1216"/>
      <c r="I545" s="1217"/>
      <c r="J545" s="1217"/>
      <c r="K545" s="1217"/>
      <c r="L545" s="1217"/>
      <c r="M545" s="1217"/>
      <c r="N545" s="1217"/>
      <c r="O545" s="1217"/>
      <c r="P545" s="1217"/>
      <c r="Q545" s="1218"/>
      <c r="R545" s="449"/>
      <c r="S545" s="1191" t="s">
        <v>1</v>
      </c>
      <c r="T545" s="1192"/>
      <c r="U545" s="1192"/>
      <c r="V545" s="1192"/>
      <c r="W545" s="1192"/>
      <c r="X545" s="1193"/>
      <c r="Y545" s="1160">
        <f>Resume!O18</f>
        <v>0</v>
      </c>
      <c r="Z545" s="1159"/>
      <c r="AA545" s="1159"/>
      <c r="AB545" s="1159"/>
      <c r="AC545" s="485"/>
    </row>
    <row r="546" spans="2:29" s="486" customFormat="1" ht="27" customHeight="1" x14ac:dyDescent="0.2">
      <c r="B546" s="1150" t="s">
        <v>489</v>
      </c>
      <c r="C546" s="1150"/>
      <c r="D546" s="1150"/>
      <c r="E546" s="1150"/>
      <c r="F546" s="1150"/>
      <c r="G546" s="1150"/>
      <c r="H546" s="1216"/>
      <c r="I546" s="1217"/>
      <c r="J546" s="1217"/>
      <c r="K546" s="1217"/>
      <c r="L546" s="1217"/>
      <c r="M546" s="1217"/>
      <c r="N546" s="1217"/>
      <c r="O546" s="1217"/>
      <c r="P546" s="1217"/>
      <c r="Q546" s="1218"/>
      <c r="R546" s="493"/>
      <c r="S546" s="1191" t="s">
        <v>314</v>
      </c>
      <c r="T546" s="1192"/>
      <c r="U546" s="1192"/>
      <c r="V546" s="1192"/>
      <c r="W546" s="1192"/>
      <c r="X546" s="1193"/>
      <c r="Y546" s="1158">
        <f>Resume!O33</f>
        <v>131.57999999999998</v>
      </c>
      <c r="Z546" s="1159"/>
      <c r="AA546" s="1159"/>
      <c r="AB546" s="1159"/>
      <c r="AC546" s="485"/>
    </row>
    <row r="547" spans="2:29" s="486" customFormat="1" ht="27" customHeight="1" x14ac:dyDescent="0.2">
      <c r="B547" s="1150" t="s">
        <v>490</v>
      </c>
      <c r="C547" s="1150"/>
      <c r="D547" s="1150"/>
      <c r="E547" s="1150"/>
      <c r="F547" s="1150"/>
      <c r="G547" s="1150"/>
      <c r="H547" s="1219"/>
      <c r="I547" s="1220"/>
      <c r="J547" s="1220"/>
      <c r="K547" s="1220"/>
      <c r="L547" s="1220"/>
      <c r="M547" s="1220"/>
      <c r="N547" s="1220"/>
      <c r="O547" s="1220"/>
      <c r="P547" s="1220"/>
      <c r="Q547" s="1221"/>
      <c r="R547" s="493"/>
      <c r="S547" s="1191" t="s">
        <v>315</v>
      </c>
      <c r="T547" s="1192"/>
      <c r="U547" s="1192"/>
      <c r="V547" s="1192"/>
      <c r="W547" s="1192"/>
      <c r="X547" s="1193"/>
      <c r="Y547" s="1160">
        <f>Resume!O114</f>
        <v>0</v>
      </c>
      <c r="Z547" s="1159"/>
      <c r="AA547" s="1159"/>
      <c r="AB547" s="1159"/>
      <c r="AC547" s="485"/>
    </row>
    <row r="548" spans="2:29" s="486" customFormat="1" ht="27" customHeight="1" x14ac:dyDescent="0.2">
      <c r="B548" s="1150" t="s">
        <v>491</v>
      </c>
      <c r="C548" s="1150"/>
      <c r="D548" s="1150"/>
      <c r="E548" s="1150"/>
      <c r="F548" s="1150"/>
      <c r="G548" s="1150"/>
      <c r="H548" s="1216"/>
      <c r="I548" s="1217"/>
      <c r="J548" s="1217"/>
      <c r="K548" s="1217"/>
      <c r="L548" s="1217"/>
      <c r="M548" s="1217"/>
      <c r="N548" s="1217"/>
      <c r="O548" s="1217"/>
      <c r="P548" s="1217"/>
      <c r="Q548" s="1218"/>
      <c r="R548" s="493"/>
      <c r="S548" s="1191" t="s">
        <v>14</v>
      </c>
      <c r="T548" s="1192"/>
      <c r="U548" s="1192"/>
      <c r="V548" s="1192"/>
      <c r="W548" s="1192"/>
      <c r="X548" s="1193"/>
      <c r="Y548" s="1160">
        <f>Resume!O115</f>
        <v>40.94</v>
      </c>
      <c r="Z548" s="1159"/>
      <c r="AA548" s="1159"/>
      <c r="AB548" s="1159"/>
      <c r="AC548" s="485"/>
    </row>
    <row r="549" spans="2:29" s="486" customFormat="1" ht="27" customHeight="1" x14ac:dyDescent="0.2">
      <c r="B549" s="1150" t="s">
        <v>492</v>
      </c>
      <c r="C549" s="1150"/>
      <c r="D549" s="1150"/>
      <c r="E549" s="1150"/>
      <c r="F549" s="1150"/>
      <c r="G549" s="1150"/>
      <c r="H549" s="1222" t="s">
        <v>406</v>
      </c>
      <c r="I549" s="1223"/>
      <c r="J549" s="1223"/>
      <c r="K549" s="1223"/>
      <c r="L549" s="1223"/>
      <c r="M549" s="1223"/>
      <c r="N549" s="1223"/>
      <c r="O549" s="1223"/>
      <c r="P549" s="1223"/>
      <c r="Q549" s="1224"/>
      <c r="R549" s="494"/>
      <c r="S549" s="1191" t="s">
        <v>484</v>
      </c>
      <c r="T549" s="1192"/>
      <c r="U549" s="1192"/>
      <c r="V549" s="1192"/>
      <c r="W549" s="1192"/>
      <c r="X549" s="1193"/>
      <c r="Y549" s="1146">
        <f>Resume!O156</f>
        <v>0</v>
      </c>
      <c r="Z549" s="1146"/>
      <c r="AA549" s="1146"/>
      <c r="AB549" s="1146"/>
      <c r="AC549" s="485"/>
    </row>
    <row r="550" spans="2:29" s="486" customFormat="1" ht="27" customHeight="1" x14ac:dyDescent="0.2">
      <c r="B550" s="1150" t="s">
        <v>493</v>
      </c>
      <c r="C550" s="1150"/>
      <c r="D550" s="1150"/>
      <c r="E550" s="1150"/>
      <c r="F550" s="1150"/>
      <c r="G550" s="1150"/>
      <c r="H550" s="1225"/>
      <c r="I550" s="1226"/>
      <c r="J550" s="1226"/>
      <c r="K550" s="1226"/>
      <c r="L550" s="1226"/>
      <c r="M550" s="1226"/>
      <c r="N550" s="1226"/>
      <c r="O550" s="1226"/>
      <c r="P550" s="1226"/>
      <c r="Q550" s="1227"/>
      <c r="R550" s="493"/>
      <c r="S550" s="1191" t="s">
        <v>112</v>
      </c>
      <c r="T550" s="1192"/>
      <c r="U550" s="1192"/>
      <c r="V550" s="1192"/>
      <c r="W550" s="1192"/>
      <c r="X550" s="1193"/>
      <c r="Y550" s="1158">
        <f>Resume!O160</f>
        <v>23.200000000000003</v>
      </c>
      <c r="Z550" s="1159"/>
      <c r="AA550" s="1159"/>
      <c r="AB550" s="1159"/>
      <c r="AC550" s="485"/>
    </row>
    <row r="551" spans="2:29" s="486" customFormat="1" ht="27" customHeight="1" x14ac:dyDescent="0.2">
      <c r="B551" s="1150" t="s">
        <v>494</v>
      </c>
      <c r="C551" s="1150"/>
      <c r="D551" s="1150"/>
      <c r="E551" s="1150"/>
      <c r="F551" s="1150"/>
      <c r="G551" s="1150"/>
      <c r="H551" s="1228" t="s">
        <v>502</v>
      </c>
      <c r="I551" s="1229"/>
      <c r="J551" s="1229"/>
      <c r="K551" s="1229"/>
      <c r="L551" s="1229"/>
      <c r="M551" s="1229"/>
      <c r="N551" s="1229"/>
      <c r="O551" s="1229"/>
      <c r="P551" s="1229"/>
      <c r="Q551" s="1230"/>
      <c r="R551" s="495"/>
      <c r="S551" s="1191" t="s">
        <v>512</v>
      </c>
      <c r="T551" s="1192"/>
      <c r="U551" s="1192"/>
      <c r="V551" s="1192"/>
      <c r="W551" s="1192"/>
      <c r="X551" s="1193"/>
      <c r="Y551" s="1159">
        <f>Resume!O182</f>
        <v>82</v>
      </c>
      <c r="Z551" s="1159"/>
      <c r="AA551" s="1159"/>
      <c r="AB551" s="1159"/>
      <c r="AC551" s="485"/>
    </row>
    <row r="552" spans="2:29" s="486" customFormat="1" ht="27" customHeight="1" x14ac:dyDescent="0.2">
      <c r="B552" s="1150" t="s">
        <v>495</v>
      </c>
      <c r="C552" s="1150"/>
      <c r="D552" s="1150"/>
      <c r="E552" s="1150"/>
      <c r="F552" s="1150"/>
      <c r="G552" s="1150"/>
      <c r="H552" s="1225"/>
      <c r="I552" s="1226"/>
      <c r="J552" s="1226"/>
      <c r="K552" s="1226"/>
      <c r="L552" s="1226"/>
      <c r="M552" s="1226"/>
      <c r="N552" s="1226"/>
      <c r="O552" s="1226"/>
      <c r="P552" s="1226"/>
      <c r="Q552" s="1227"/>
      <c r="R552" s="493"/>
      <c r="S552" s="1191" t="s">
        <v>113</v>
      </c>
      <c r="T552" s="1192"/>
      <c r="U552" s="1192"/>
      <c r="V552" s="1192"/>
      <c r="W552" s="1192"/>
      <c r="X552" s="1193"/>
      <c r="Y552" s="1146">
        <f>Resume!O216</f>
        <v>0</v>
      </c>
      <c r="Z552" s="1146"/>
      <c r="AA552" s="1146"/>
      <c r="AB552" s="1146"/>
      <c r="AC552" s="485"/>
    </row>
    <row r="553" spans="2:29" s="486" customFormat="1" ht="27" customHeight="1" x14ac:dyDescent="0.2">
      <c r="B553" s="627"/>
      <c r="C553" s="627"/>
      <c r="D553" s="627"/>
      <c r="E553" s="627"/>
      <c r="F553" s="627"/>
      <c r="G553" s="627"/>
      <c r="H553" s="496"/>
      <c r="I553" s="496"/>
      <c r="J553" s="496"/>
      <c r="K553" s="496"/>
      <c r="L553" s="496"/>
      <c r="M553" s="496"/>
      <c r="N553" s="496"/>
      <c r="O553" s="496"/>
      <c r="P553" s="496"/>
      <c r="Q553" s="496"/>
      <c r="R553" s="496"/>
      <c r="S553" s="1194" t="s">
        <v>19</v>
      </c>
      <c r="T553" s="1195"/>
      <c r="U553" s="1195"/>
      <c r="V553" s="1195"/>
      <c r="W553" s="1195"/>
      <c r="X553" s="1196"/>
      <c r="Y553" s="1184">
        <v>0</v>
      </c>
      <c r="Z553" s="1184"/>
      <c r="AA553" s="1184"/>
      <c r="AB553" s="1184"/>
      <c r="AC553" s="485"/>
    </row>
    <row r="554" spans="2:29" s="486" customFormat="1" ht="27" customHeight="1" x14ac:dyDescent="0.2">
      <c r="B554" s="497"/>
      <c r="C554" s="497"/>
      <c r="D554" s="497"/>
      <c r="E554" s="497"/>
      <c r="F554" s="497"/>
      <c r="G554" s="497"/>
      <c r="H554" s="498"/>
      <c r="I554" s="498"/>
      <c r="J554" s="498"/>
      <c r="K554" s="498"/>
      <c r="L554" s="498"/>
      <c r="M554" s="498"/>
      <c r="N554" s="498"/>
      <c r="O554" s="498"/>
      <c r="P554" s="498"/>
      <c r="Q554" s="498"/>
      <c r="R554" s="498"/>
      <c r="S554" s="1198" t="s">
        <v>19</v>
      </c>
      <c r="T554" s="1199"/>
      <c r="U554" s="1199"/>
      <c r="V554" s="1199"/>
      <c r="W554" s="1199"/>
      <c r="X554" s="1199"/>
      <c r="Y554" s="1181">
        <v>0</v>
      </c>
      <c r="Z554" s="1182"/>
      <c r="AA554" s="1182"/>
      <c r="AB554" s="1183"/>
      <c r="AC554" s="485"/>
    </row>
    <row r="555" spans="2:29" s="486" customFormat="1" ht="27" customHeight="1" x14ac:dyDescent="0.2">
      <c r="B555" s="497"/>
      <c r="C555" s="497"/>
      <c r="D555" s="497"/>
      <c r="E555" s="497"/>
      <c r="F555" s="497"/>
      <c r="G555" s="497"/>
      <c r="H555" s="498"/>
      <c r="I555" s="498"/>
      <c r="J555" s="498"/>
      <c r="K555" s="498"/>
      <c r="L555" s="498"/>
      <c r="M555" s="498"/>
      <c r="N555" s="498"/>
      <c r="O555" s="498"/>
      <c r="P555" s="498"/>
      <c r="Q555" s="498"/>
      <c r="R555" s="498"/>
      <c r="S555" s="1200" t="s">
        <v>15</v>
      </c>
      <c r="T555" s="1201"/>
      <c r="U555" s="1201"/>
      <c r="V555" s="1201"/>
      <c r="W555" s="1201"/>
      <c r="X555" s="1202"/>
      <c r="Y555" s="1178">
        <f>SUM(Y544:Y554)</f>
        <v>485.71999999999997</v>
      </c>
      <c r="Z555" s="1179"/>
      <c r="AA555" s="1179"/>
      <c r="AB555" s="1180"/>
      <c r="AC555" s="485"/>
    </row>
    <row r="556" spans="2:29" s="486" customFormat="1" ht="27" customHeight="1" x14ac:dyDescent="0.2">
      <c r="B556" s="447"/>
      <c r="C556" s="447"/>
      <c r="D556" s="447"/>
      <c r="E556" s="447"/>
      <c r="F556" s="447"/>
      <c r="G556" s="447"/>
      <c r="H556" s="447"/>
      <c r="I556" s="447"/>
      <c r="J556" s="447"/>
      <c r="K556" s="447"/>
      <c r="L556" s="447"/>
      <c r="M556" s="447"/>
      <c r="N556" s="447"/>
      <c r="O556" s="447"/>
      <c r="P556" s="447"/>
      <c r="Q556" s="447"/>
      <c r="R556" s="447"/>
      <c r="S556" s="1203" t="s">
        <v>18</v>
      </c>
      <c r="T556" s="1204"/>
      <c r="U556" s="1204"/>
      <c r="V556" s="1204"/>
      <c r="W556" s="1204"/>
      <c r="X556" s="1205"/>
      <c r="Y556" s="1188">
        <f>IF(Y555&lt;100,25,0)</f>
        <v>0</v>
      </c>
      <c r="Z556" s="1189"/>
      <c r="AA556" s="1189"/>
      <c r="AB556" s="1190"/>
      <c r="AC556" s="485"/>
    </row>
    <row r="557" spans="2:29" s="486" customFormat="1" ht="27" customHeight="1" x14ac:dyDescent="0.2">
      <c r="B557" s="447"/>
      <c r="C557" s="447"/>
      <c r="D557" s="447"/>
      <c r="E557" s="447"/>
      <c r="F557" s="447"/>
      <c r="G557" s="447"/>
      <c r="H557" s="447"/>
      <c r="I557" s="447"/>
      <c r="J557" s="447"/>
      <c r="K557" s="447"/>
      <c r="L557" s="447"/>
      <c r="M557" s="447"/>
      <c r="N557" s="447"/>
      <c r="O557" s="447"/>
      <c r="P557" s="447"/>
      <c r="Q557" s="447"/>
      <c r="R557" s="447"/>
      <c r="S557" s="1191" t="s">
        <v>20</v>
      </c>
      <c r="T557" s="1192"/>
      <c r="U557" s="1192"/>
      <c r="V557" s="1192"/>
      <c r="W557" s="1192"/>
      <c r="X557" s="1192"/>
      <c r="Y557" s="1175">
        <v>0</v>
      </c>
      <c r="Z557" s="1176"/>
      <c r="AA557" s="1176"/>
      <c r="AB557" s="1177"/>
      <c r="AC557" s="485"/>
    </row>
    <row r="558" spans="2:29" s="486" customFormat="1" ht="27" customHeight="1" x14ac:dyDescent="0.2">
      <c r="B558" s="447"/>
      <c r="C558" s="447"/>
      <c r="D558" s="447"/>
      <c r="E558" s="447"/>
      <c r="F558" s="447"/>
      <c r="G558" s="447"/>
      <c r="H558" s="447"/>
      <c r="I558" s="447"/>
      <c r="J558" s="447"/>
      <c r="K558" s="447"/>
      <c r="L558" s="447"/>
      <c r="M558" s="447"/>
      <c r="N558" s="447"/>
      <c r="O558" s="447"/>
      <c r="P558" s="447"/>
      <c r="Q558" s="447"/>
      <c r="R558" s="447"/>
      <c r="S558" s="1198" t="s">
        <v>21</v>
      </c>
      <c r="T558" s="1199"/>
      <c r="U558" s="1199"/>
      <c r="V558" s="1199"/>
      <c r="W558" s="1199"/>
      <c r="X558" s="1199"/>
      <c r="Y558" s="1175">
        <v>0</v>
      </c>
      <c r="Z558" s="1176"/>
      <c r="AA558" s="1176"/>
      <c r="AB558" s="1177"/>
      <c r="AC558" s="485"/>
    </row>
    <row r="559" spans="2:29" s="486" customFormat="1" ht="27" customHeight="1" x14ac:dyDescent="0.2">
      <c r="B559" s="499"/>
      <c r="C559" s="499"/>
      <c r="D559" s="499"/>
      <c r="E559" s="499"/>
      <c r="F559" s="499"/>
      <c r="G559" s="499"/>
      <c r="H559" s="499"/>
      <c r="I559" s="499"/>
      <c r="J559" s="499"/>
      <c r="K559" s="499"/>
      <c r="L559" s="499"/>
      <c r="M559" s="499"/>
      <c r="N559" s="499"/>
      <c r="O559" s="499"/>
      <c r="P559" s="499"/>
      <c r="Q559" s="499"/>
      <c r="R559" s="499"/>
      <c r="S559" s="1206" t="s">
        <v>6</v>
      </c>
      <c r="T559" s="1207"/>
      <c r="U559" s="1207"/>
      <c r="V559" s="1207"/>
      <c r="W559" s="1207"/>
      <c r="X559" s="1208"/>
      <c r="Y559" s="1185">
        <f>Y555+Y556+Y557+Y558</f>
        <v>485.71999999999997</v>
      </c>
      <c r="Z559" s="1186"/>
      <c r="AA559" s="1186"/>
      <c r="AB559" s="1187"/>
      <c r="AC559" s="485"/>
    </row>
    <row r="562" spans="2:4" hidden="1" x14ac:dyDescent="0.2">
      <c r="D562" s="188" t="s">
        <v>433</v>
      </c>
    </row>
    <row r="563" spans="2:4" hidden="1" x14ac:dyDescent="0.2">
      <c r="D563" s="188" t="s">
        <v>434</v>
      </c>
    </row>
    <row r="564" spans="2:4" hidden="1" x14ac:dyDescent="0.2"/>
    <row r="565" spans="2:4" hidden="1" x14ac:dyDescent="0.2">
      <c r="D565" s="206" t="s">
        <v>472</v>
      </c>
    </row>
    <row r="566" spans="2:4" hidden="1" x14ac:dyDescent="0.2">
      <c r="D566" s="206" t="s">
        <v>473</v>
      </c>
    </row>
    <row r="573" spans="2:4" hidden="1" x14ac:dyDescent="0.2">
      <c r="B573" s="206">
        <v>0</v>
      </c>
    </row>
    <row r="574" spans="2:4" hidden="1" x14ac:dyDescent="0.2">
      <c r="B574" s="206">
        <v>200</v>
      </c>
    </row>
    <row r="575" spans="2:4" hidden="1" x14ac:dyDescent="0.2">
      <c r="B575" s="206">
        <v>400</v>
      </c>
    </row>
    <row r="576" spans="2:4" hidden="1" x14ac:dyDescent="0.2">
      <c r="B576" s="206">
        <v>600</v>
      </c>
    </row>
    <row r="577" spans="2:2" hidden="1" x14ac:dyDescent="0.2">
      <c r="B577" s="206">
        <v>800</v>
      </c>
    </row>
    <row r="578" spans="2:2" hidden="1" x14ac:dyDescent="0.2">
      <c r="B578" s="206">
        <v>1000</v>
      </c>
    </row>
    <row r="579" spans="2:2" hidden="1" x14ac:dyDescent="0.2">
      <c r="B579" s="206">
        <v>1200</v>
      </c>
    </row>
    <row r="580" spans="2:2" hidden="1" x14ac:dyDescent="0.2">
      <c r="B580" s="206">
        <v>1400</v>
      </c>
    </row>
    <row r="581" spans="2:2" hidden="1" x14ac:dyDescent="0.2">
      <c r="B581" s="206">
        <v>1600</v>
      </c>
    </row>
  </sheetData>
  <sheetProtection password="C6C1" sheet="1" objects="1" scenarios="1"/>
  <mergeCells count="1822">
    <mergeCell ref="Y1:AA1"/>
    <mergeCell ref="X450:AA450"/>
    <mergeCell ref="X451:AA451"/>
    <mergeCell ref="X453:AA453"/>
    <mergeCell ref="X454:AA454"/>
    <mergeCell ref="S264:V264"/>
    <mergeCell ref="X264:AA264"/>
    <mergeCell ref="S265:T265"/>
    <mergeCell ref="U265:V265"/>
    <mergeCell ref="X265:Y265"/>
    <mergeCell ref="Z265:AA265"/>
    <mergeCell ref="I268:L268"/>
    <mergeCell ref="N268:Q268"/>
    <mergeCell ref="K131:L131"/>
    <mergeCell ref="U111:V111"/>
    <mergeCell ref="N114:Q114"/>
    <mergeCell ref="S111:T111"/>
    <mergeCell ref="S115:V115"/>
    <mergeCell ref="S395:V395"/>
    <mergeCell ref="N115:Q115"/>
    <mergeCell ref="I119:L119"/>
    <mergeCell ref="I137:L137"/>
    <mergeCell ref="I130:L130"/>
    <mergeCell ref="S141:V141"/>
    <mergeCell ref="S140:V140"/>
    <mergeCell ref="I207:L207"/>
    <mergeCell ref="U189:V189"/>
    <mergeCell ref="I156:J156"/>
    <mergeCell ref="W11:AA13"/>
    <mergeCell ref="J11:N15"/>
    <mergeCell ref="S396:V396"/>
    <mergeCell ref="Z254:AA254"/>
    <mergeCell ref="X297:AA297"/>
    <mergeCell ref="X251:AA251"/>
    <mergeCell ref="I325:L325"/>
    <mergeCell ref="I252:L252"/>
    <mergeCell ref="U254:V254"/>
    <mergeCell ref="I254:J254"/>
    <mergeCell ref="I271:L271"/>
    <mergeCell ref="N347:Q347"/>
    <mergeCell ref="N284:Q284"/>
    <mergeCell ref="X262:AA262"/>
    <mergeCell ref="N258:Q258"/>
    <mergeCell ref="N260:Q260"/>
    <mergeCell ref="N246:Q246"/>
    <mergeCell ref="S246:V246"/>
    <mergeCell ref="U243:V243"/>
    <mergeCell ref="Z209:AA209"/>
    <mergeCell ref="S324:V324"/>
    <mergeCell ref="U332:V332"/>
    <mergeCell ref="I263:L263"/>
    <mergeCell ref="I327:L327"/>
    <mergeCell ref="N332:O332"/>
    <mergeCell ref="S217:V217"/>
    <mergeCell ref="Z243:AA243"/>
    <mergeCell ref="N294:Q294"/>
    <mergeCell ref="I295:L295"/>
    <mergeCell ref="I286:L286"/>
    <mergeCell ref="S287:V287"/>
    <mergeCell ref="D11:H14"/>
    <mergeCell ref="Q11:U15"/>
    <mergeCell ref="H544:Q544"/>
    <mergeCell ref="H545:Q545"/>
    <mergeCell ref="H546:Q546"/>
    <mergeCell ref="H547:Q547"/>
    <mergeCell ref="H548:Q548"/>
    <mergeCell ref="H549:Q549"/>
    <mergeCell ref="H550:Q550"/>
    <mergeCell ref="H551:Q551"/>
    <mergeCell ref="H552:Q552"/>
    <mergeCell ref="S544:X544"/>
    <mergeCell ref="S545:X545"/>
    <mergeCell ref="S546:X546"/>
    <mergeCell ref="S547:X547"/>
    <mergeCell ref="S548:X548"/>
    <mergeCell ref="S549:X549"/>
    <mergeCell ref="S550:X550"/>
    <mergeCell ref="K376:L376"/>
    <mergeCell ref="S552:X552"/>
    <mergeCell ref="C539:AA539"/>
    <mergeCell ref="D480:E480"/>
    <mergeCell ref="D219:E219"/>
    <mergeCell ref="F219:G219"/>
    <mergeCell ref="I219:J219"/>
    <mergeCell ref="F276:G276"/>
    <mergeCell ref="I276:J276"/>
    <mergeCell ref="K276:L276"/>
    <mergeCell ref="D269:G269"/>
    <mergeCell ref="X330:AA330"/>
    <mergeCell ref="X357:AA357"/>
    <mergeCell ref="D295:G295"/>
    <mergeCell ref="X362:AA362"/>
    <mergeCell ref="S554:X554"/>
    <mergeCell ref="S555:X555"/>
    <mergeCell ref="S556:X556"/>
    <mergeCell ref="S557:X557"/>
    <mergeCell ref="S558:X558"/>
    <mergeCell ref="S559:X559"/>
    <mergeCell ref="B543:Q543"/>
    <mergeCell ref="S543:AB543"/>
    <mergeCell ref="N269:Q269"/>
    <mergeCell ref="D271:G271"/>
    <mergeCell ref="S526:V526"/>
    <mergeCell ref="N527:Q527"/>
    <mergeCell ref="S527:V527"/>
    <mergeCell ref="N529:Q529"/>
    <mergeCell ref="S529:V529"/>
    <mergeCell ref="N530:Q530"/>
    <mergeCell ref="S530:V530"/>
    <mergeCell ref="N531:Q531"/>
    <mergeCell ref="S531:V531"/>
    <mergeCell ref="X317:AA317"/>
    <mergeCell ref="X331:AA331"/>
    <mergeCell ref="B415:B423"/>
    <mergeCell ref="E538:P538"/>
    <mergeCell ref="D530:G530"/>
    <mergeCell ref="D343:E343"/>
    <mergeCell ref="D387:G387"/>
    <mergeCell ref="F288:G288"/>
    <mergeCell ref="D444:G444"/>
    <mergeCell ref="K480:L480"/>
    <mergeCell ref="N373:Q373"/>
    <mergeCell ref="N444:Q444"/>
    <mergeCell ref="N423:O423"/>
    <mergeCell ref="N430:Q430"/>
    <mergeCell ref="N509:Q509"/>
    <mergeCell ref="N272:Q272"/>
    <mergeCell ref="I273:L273"/>
    <mergeCell ref="I444:L444"/>
    <mergeCell ref="I339:L339"/>
    <mergeCell ref="I480:J480"/>
    <mergeCell ref="I280:L280"/>
    <mergeCell ref="I281:L281"/>
    <mergeCell ref="K343:L343"/>
    <mergeCell ref="U458:V458"/>
    <mergeCell ref="N276:O276"/>
    <mergeCell ref="N371:Q371"/>
    <mergeCell ref="N343:O343"/>
    <mergeCell ref="N346:Q346"/>
    <mergeCell ref="S332:T332"/>
    <mergeCell ref="I343:J343"/>
    <mergeCell ref="I340:L340"/>
    <mergeCell ref="N287:Q287"/>
    <mergeCell ref="S369:V369"/>
    <mergeCell ref="I310:J310"/>
    <mergeCell ref="S349:V349"/>
    <mergeCell ref="N350:Q350"/>
    <mergeCell ref="N353:Q353"/>
    <mergeCell ref="S302:V302"/>
    <mergeCell ref="N500:Q500"/>
    <mergeCell ref="S291:V296"/>
    <mergeCell ref="S306:V306"/>
    <mergeCell ref="I298:L298"/>
    <mergeCell ref="Y559:AB559"/>
    <mergeCell ref="Y556:AB556"/>
    <mergeCell ref="Y557:AB557"/>
    <mergeCell ref="S350:V350"/>
    <mergeCell ref="S317:V317"/>
    <mergeCell ref="S319:V319"/>
    <mergeCell ref="S551:X551"/>
    <mergeCell ref="S249:V249"/>
    <mergeCell ref="S553:X553"/>
    <mergeCell ref="S352:V352"/>
    <mergeCell ref="X351:AA351"/>
    <mergeCell ref="I477:L477"/>
    <mergeCell ref="X363:AA363"/>
    <mergeCell ref="X358:AA358"/>
    <mergeCell ref="X364:AA364"/>
    <mergeCell ref="I332:J332"/>
    <mergeCell ref="X522:AA522"/>
    <mergeCell ref="U276:V276"/>
    <mergeCell ref="N264:Q264"/>
    <mergeCell ref="I386:L386"/>
    <mergeCell ref="Y547:AB547"/>
    <mergeCell ref="Y548:AB548"/>
    <mergeCell ref="S280:V280"/>
    <mergeCell ref="X245:AA250"/>
    <mergeCell ref="X283:AA283"/>
    <mergeCell ref="I291:L291"/>
    <mergeCell ref="N443:Q443"/>
    <mergeCell ref="N513:Q513"/>
    <mergeCell ref="S353:V353"/>
    <mergeCell ref="N395:Q395"/>
    <mergeCell ref="U400:V400"/>
    <mergeCell ref="I385:L385"/>
    <mergeCell ref="N299:O299"/>
    <mergeCell ref="N283:Q283"/>
    <mergeCell ref="Y558:AB558"/>
    <mergeCell ref="I387:L387"/>
    <mergeCell ref="I397:L397"/>
    <mergeCell ref="I264:L264"/>
    <mergeCell ref="I319:L319"/>
    <mergeCell ref="Y555:AB555"/>
    <mergeCell ref="Y554:AB554"/>
    <mergeCell ref="X400:Y400"/>
    <mergeCell ref="X380:AA380"/>
    <mergeCell ref="N261:Q261"/>
    <mergeCell ref="N252:Q252"/>
    <mergeCell ref="I479:L479"/>
    <mergeCell ref="I246:L246"/>
    <mergeCell ref="I243:J243"/>
    <mergeCell ref="I260:L260"/>
    <mergeCell ref="I331:L331"/>
    <mergeCell ref="X285:AA285"/>
    <mergeCell ref="Y553:AB553"/>
    <mergeCell ref="Y550:AB550"/>
    <mergeCell ref="Y549:AB549"/>
    <mergeCell ref="X253:AA253"/>
    <mergeCell ref="I524:J524"/>
    <mergeCell ref="X252:AA252"/>
    <mergeCell ref="I523:L523"/>
    <mergeCell ref="N251:Q251"/>
    <mergeCell ref="N516:Q521"/>
    <mergeCell ref="K524:L524"/>
    <mergeCell ref="N273:Q273"/>
    <mergeCell ref="N288:O288"/>
    <mergeCell ref="P388:Q388"/>
    <mergeCell ref="D143:G143"/>
    <mergeCell ref="I341:L341"/>
    <mergeCell ref="X365:Y365"/>
    <mergeCell ref="Y551:AB551"/>
    <mergeCell ref="S242:V242"/>
    <mergeCell ref="S284:V284"/>
    <mergeCell ref="D541:AA541"/>
    <mergeCell ref="C537:AA537"/>
    <mergeCell ref="N532:Q532"/>
    <mergeCell ref="S532:V532"/>
    <mergeCell ref="U491:V491"/>
    <mergeCell ref="X491:Y491"/>
    <mergeCell ref="Z491:AA491"/>
    <mergeCell ref="I475:L475"/>
    <mergeCell ref="X392:AA392"/>
    <mergeCell ref="S354:T354"/>
    <mergeCell ref="U354:V354"/>
    <mergeCell ref="Z343:AA343"/>
    <mergeCell ref="S346:V346"/>
    <mergeCell ref="X523:AA523"/>
    <mergeCell ref="S415:V415"/>
    <mergeCell ref="S392:V392"/>
    <mergeCell ref="B546:G546"/>
    <mergeCell ref="Y546:AB546"/>
    <mergeCell ref="N534:O534"/>
    <mergeCell ref="P534:Q534"/>
    <mergeCell ref="N392:Q392"/>
    <mergeCell ref="B550:G550"/>
    <mergeCell ref="B548:G548"/>
    <mergeCell ref="B547:G547"/>
    <mergeCell ref="I242:L242"/>
    <mergeCell ref="B545:G545"/>
    <mergeCell ref="X114:AA114"/>
    <mergeCell ref="X174:AA174"/>
    <mergeCell ref="N154:Q154"/>
    <mergeCell ref="X237:AA237"/>
    <mergeCell ref="S117:V117"/>
    <mergeCell ref="U178:V178"/>
    <mergeCell ref="N166:Q166"/>
    <mergeCell ref="N196:Q196"/>
    <mergeCell ref="X219:Y219"/>
    <mergeCell ref="X203:AA203"/>
    <mergeCell ref="X202:AA202"/>
    <mergeCell ref="X235:AA235"/>
    <mergeCell ref="D475:G475"/>
    <mergeCell ref="S129:V129"/>
    <mergeCell ref="S158:V163"/>
    <mergeCell ref="X241:AA241"/>
    <mergeCell ref="S209:T209"/>
    <mergeCell ref="X280:AA280"/>
    <mergeCell ref="X234:AA234"/>
    <mergeCell ref="N275:Q275"/>
    <mergeCell ref="N271:Q271"/>
    <mergeCell ref="N274:Q274"/>
    <mergeCell ref="D124:G129"/>
    <mergeCell ref="D186:G186"/>
    <mergeCell ref="D239:G239"/>
    <mergeCell ref="F199:G199"/>
    <mergeCell ref="F131:G131"/>
    <mergeCell ref="I166:L166"/>
    <mergeCell ref="I218:L218"/>
    <mergeCell ref="D245:G245"/>
    <mergeCell ref="F189:G189"/>
    <mergeCell ref="F243:G243"/>
    <mergeCell ref="D363:G363"/>
    <mergeCell ref="D199:E199"/>
    <mergeCell ref="N267:Q267"/>
    <mergeCell ref="N262:Q262"/>
    <mergeCell ref="D218:G218"/>
    <mergeCell ref="D280:G280"/>
    <mergeCell ref="N199:O199"/>
    <mergeCell ref="N215:Q215"/>
    <mergeCell ref="K209:L209"/>
    <mergeCell ref="S335:V335"/>
    <mergeCell ref="P332:Q332"/>
    <mergeCell ref="D310:E310"/>
    <mergeCell ref="N331:Q331"/>
    <mergeCell ref="D240:G240"/>
    <mergeCell ref="P219:Q219"/>
    <mergeCell ref="I250:L250"/>
    <mergeCell ref="D237:G237"/>
    <mergeCell ref="I237:L237"/>
    <mergeCell ref="D238:G238"/>
    <mergeCell ref="P288:Q288"/>
    <mergeCell ref="I234:L234"/>
    <mergeCell ref="S252:V252"/>
    <mergeCell ref="S256:V256"/>
    <mergeCell ref="S247:V247"/>
    <mergeCell ref="N238:Q238"/>
    <mergeCell ref="S237:V237"/>
    <mergeCell ref="I235:L235"/>
    <mergeCell ref="F343:G343"/>
    <mergeCell ref="S216:V216"/>
    <mergeCell ref="N342:Q342"/>
    <mergeCell ref="S314:V314"/>
    <mergeCell ref="I215:L215"/>
    <mergeCell ref="D331:G331"/>
    <mergeCell ref="D262:G262"/>
    <mergeCell ref="D263:G263"/>
    <mergeCell ref="D264:G264"/>
    <mergeCell ref="I261:L261"/>
    <mergeCell ref="D247:G247"/>
    <mergeCell ref="S251:V251"/>
    <mergeCell ref="N335:Q335"/>
    <mergeCell ref="D339:G339"/>
    <mergeCell ref="D317:G317"/>
    <mergeCell ref="S281:V281"/>
    <mergeCell ref="I274:L274"/>
    <mergeCell ref="N295:Q295"/>
    <mergeCell ref="N325:Q325"/>
    <mergeCell ref="S276:T276"/>
    <mergeCell ref="S299:T299"/>
    <mergeCell ref="U288:V288"/>
    <mergeCell ref="I296:L296"/>
    <mergeCell ref="N296:Q296"/>
    <mergeCell ref="K288:L288"/>
    <mergeCell ref="D273:G273"/>
    <mergeCell ref="I269:L269"/>
    <mergeCell ref="N250:Q250"/>
    <mergeCell ref="S261:V261"/>
    <mergeCell ref="D291:G291"/>
    <mergeCell ref="D296:G296"/>
    <mergeCell ref="N247:Q247"/>
    <mergeCell ref="I262:L262"/>
    <mergeCell ref="I297:L297"/>
    <mergeCell ref="U299:V299"/>
    <mergeCell ref="D325:G325"/>
    <mergeCell ref="D253:G253"/>
    <mergeCell ref="N533:Q533"/>
    <mergeCell ref="D251:G251"/>
    <mergeCell ref="I253:L253"/>
    <mergeCell ref="D256:G256"/>
    <mergeCell ref="I351:L351"/>
    <mergeCell ref="N354:O354"/>
    <mergeCell ref="N338:Q338"/>
    <mergeCell ref="I335:L335"/>
    <mergeCell ref="I336:L336"/>
    <mergeCell ref="N393:Q393"/>
    <mergeCell ref="D388:E388"/>
    <mergeCell ref="P365:Q365"/>
    <mergeCell ref="D477:G477"/>
    <mergeCell ref="I465:L465"/>
    <mergeCell ref="N339:Q339"/>
    <mergeCell ref="I375:L375"/>
    <mergeCell ref="P376:Q376"/>
    <mergeCell ref="I398:L398"/>
    <mergeCell ref="N386:Q386"/>
    <mergeCell ref="K254:L254"/>
    <mergeCell ref="I267:L267"/>
    <mergeCell ref="N263:Q263"/>
    <mergeCell ref="N526:Q526"/>
    <mergeCell ref="D258:G258"/>
    <mergeCell ref="D274:G274"/>
    <mergeCell ref="N281:Q281"/>
    <mergeCell ref="F299:G299"/>
    <mergeCell ref="P276:Q276"/>
    <mergeCell ref="K332:L332"/>
    <mergeCell ref="I342:L342"/>
    <mergeCell ref="I284:L284"/>
    <mergeCell ref="D429:G429"/>
    <mergeCell ref="Y544:AB544"/>
    <mergeCell ref="Y545:AB545"/>
    <mergeCell ref="B426:B446"/>
    <mergeCell ref="X343:Y343"/>
    <mergeCell ref="N416:Q416"/>
    <mergeCell ref="D422:G422"/>
    <mergeCell ref="D407:G407"/>
    <mergeCell ref="D378:AA378"/>
    <mergeCell ref="D531:G531"/>
    <mergeCell ref="D532:G532"/>
    <mergeCell ref="U423:V423"/>
    <mergeCell ref="I532:L532"/>
    <mergeCell ref="D533:G533"/>
    <mergeCell ref="N349:Q349"/>
    <mergeCell ref="N368:Q368"/>
    <mergeCell ref="N369:Q369"/>
    <mergeCell ref="I411:J411"/>
    <mergeCell ref="N437:Q437"/>
    <mergeCell ref="N438:Q438"/>
    <mergeCell ref="S533:V533"/>
    <mergeCell ref="S534:T534"/>
    <mergeCell ref="U534:V534"/>
    <mergeCell ref="I392:L392"/>
    <mergeCell ref="D347:G347"/>
    <mergeCell ref="D352:G352"/>
    <mergeCell ref="I349:L349"/>
    <mergeCell ref="B544:G544"/>
    <mergeCell ref="I438:L438"/>
    <mergeCell ref="D430:G430"/>
    <mergeCell ref="F388:G388"/>
    <mergeCell ref="S374:V374"/>
    <mergeCell ref="I376:J376"/>
    <mergeCell ref="I395:L395"/>
    <mergeCell ref="D252:G252"/>
    <mergeCell ref="I283:L283"/>
    <mergeCell ref="N265:O265"/>
    <mergeCell ref="I258:L258"/>
    <mergeCell ref="D276:E276"/>
    <mergeCell ref="D283:G283"/>
    <mergeCell ref="N329:Q329"/>
    <mergeCell ref="I329:L329"/>
    <mergeCell ref="I328:L328"/>
    <mergeCell ref="P254:Q254"/>
    <mergeCell ref="S254:T254"/>
    <mergeCell ref="N254:O254"/>
    <mergeCell ref="I256:L256"/>
    <mergeCell ref="I346:L346"/>
    <mergeCell ref="N384:Q384"/>
    <mergeCell ref="D351:G351"/>
    <mergeCell ref="S384:V384"/>
    <mergeCell ref="D267:G267"/>
    <mergeCell ref="D286:G286"/>
    <mergeCell ref="N280:Q280"/>
    <mergeCell ref="N286:Q286"/>
    <mergeCell ref="I299:J299"/>
    <mergeCell ref="F265:G265"/>
    <mergeCell ref="D287:G287"/>
    <mergeCell ref="D376:E376"/>
    <mergeCell ref="F376:G376"/>
    <mergeCell ref="D338:G338"/>
    <mergeCell ref="D342:G342"/>
    <mergeCell ref="I285:L285"/>
    <mergeCell ref="S330:V330"/>
    <mergeCell ref="N374:Q374"/>
    <mergeCell ref="B357:B366"/>
    <mergeCell ref="B403:B412"/>
    <mergeCell ref="N409:Q409"/>
    <mergeCell ref="B392:B401"/>
    <mergeCell ref="K400:L400"/>
    <mergeCell ref="I407:L407"/>
    <mergeCell ref="I380:L380"/>
    <mergeCell ref="D364:G364"/>
    <mergeCell ref="K365:L365"/>
    <mergeCell ref="I383:L383"/>
    <mergeCell ref="D341:G341"/>
    <mergeCell ref="N388:O388"/>
    <mergeCell ref="N351:Q351"/>
    <mergeCell ref="D357:G362"/>
    <mergeCell ref="N376:O376"/>
    <mergeCell ref="N445:O445"/>
    <mergeCell ref="P445:Q445"/>
    <mergeCell ref="N419:Q419"/>
    <mergeCell ref="I430:L430"/>
    <mergeCell ref="I427:L427"/>
    <mergeCell ref="B335:B344"/>
    <mergeCell ref="N336:Q336"/>
    <mergeCell ref="D399:G399"/>
    <mergeCell ref="I422:L422"/>
    <mergeCell ref="F445:G445"/>
    <mergeCell ref="I445:J445"/>
    <mergeCell ref="P423:Q423"/>
    <mergeCell ref="N440:Q440"/>
    <mergeCell ref="N441:Q441"/>
    <mergeCell ref="N442:Q442"/>
    <mergeCell ref="K445:L445"/>
    <mergeCell ref="N396:Q396"/>
    <mergeCell ref="Y552:AB552"/>
    <mergeCell ref="S331:V331"/>
    <mergeCell ref="X341:AA341"/>
    <mergeCell ref="S328:V328"/>
    <mergeCell ref="D385:G385"/>
    <mergeCell ref="D346:G346"/>
    <mergeCell ref="I347:L347"/>
    <mergeCell ref="K354:L354"/>
    <mergeCell ref="D396:G396"/>
    <mergeCell ref="N387:Q387"/>
    <mergeCell ref="D408:G408"/>
    <mergeCell ref="I516:L521"/>
    <mergeCell ref="X513:AA513"/>
    <mergeCell ref="D513:G513"/>
    <mergeCell ref="I400:J400"/>
    <mergeCell ref="S433:V433"/>
    <mergeCell ref="N398:Q398"/>
    <mergeCell ref="S398:V398"/>
    <mergeCell ref="N418:Q418"/>
    <mergeCell ref="Z400:AA400"/>
    <mergeCell ref="I503:L503"/>
    <mergeCell ref="B552:G552"/>
    <mergeCell ref="B551:G551"/>
    <mergeCell ref="B549:G549"/>
    <mergeCell ref="B324:B333"/>
    <mergeCell ref="I357:L362"/>
    <mergeCell ref="N357:Q362"/>
    <mergeCell ref="D327:G327"/>
    <mergeCell ref="D324:G324"/>
    <mergeCell ref="D392:G392"/>
    <mergeCell ref="S342:V342"/>
    <mergeCell ref="Z354:AA354"/>
    <mergeCell ref="X99:AA99"/>
    <mergeCell ref="I99:L99"/>
    <mergeCell ref="I98:L98"/>
    <mergeCell ref="D105:G105"/>
    <mergeCell ref="D89:G89"/>
    <mergeCell ref="D90:G90"/>
    <mergeCell ref="D91:E91"/>
    <mergeCell ref="U91:V91"/>
    <mergeCell ref="S108:V108"/>
    <mergeCell ref="I110:L110"/>
    <mergeCell ref="S110:V110"/>
    <mergeCell ref="D109:G109"/>
    <mergeCell ref="F91:G91"/>
    <mergeCell ref="N45:Q45"/>
    <mergeCell ref="S45:V45"/>
    <mergeCell ref="N95:Q95"/>
    <mergeCell ref="N47:O47"/>
    <mergeCell ref="P47:Q47"/>
    <mergeCell ref="N50:Q54"/>
    <mergeCell ref="P91:Q91"/>
    <mergeCell ref="I109:L109"/>
    <mergeCell ref="X104:AA104"/>
    <mergeCell ref="D82:AA82"/>
    <mergeCell ref="I100:L100"/>
    <mergeCell ref="Z101:AA101"/>
    <mergeCell ref="X91:Y91"/>
    <mergeCell ref="D46:G46"/>
    <mergeCell ref="N84:Q84"/>
    <mergeCell ref="D49:G49"/>
    <mergeCell ref="I56:L56"/>
    <mergeCell ref="S90:V90"/>
    <mergeCell ref="D104:G104"/>
    <mergeCell ref="D108:G108"/>
    <mergeCell ref="I198:L198"/>
    <mergeCell ref="X342:AA342"/>
    <mergeCell ref="B346:B355"/>
    <mergeCell ref="D192:G192"/>
    <mergeCell ref="I209:J209"/>
    <mergeCell ref="I205:L205"/>
    <mergeCell ref="D196:G196"/>
    <mergeCell ref="I197:L197"/>
    <mergeCell ref="I239:L239"/>
    <mergeCell ref="D198:G198"/>
    <mergeCell ref="N249:Q249"/>
    <mergeCell ref="I245:L245"/>
    <mergeCell ref="I251:L251"/>
    <mergeCell ref="S253:V253"/>
    <mergeCell ref="Z219:AA219"/>
    <mergeCell ref="N216:Q216"/>
    <mergeCell ref="D242:G242"/>
    <mergeCell ref="N240:Q240"/>
    <mergeCell ref="D233:AA233"/>
    <mergeCell ref="S245:V245"/>
    <mergeCell ref="D288:E288"/>
    <mergeCell ref="S213:V213"/>
    <mergeCell ref="S208:V208"/>
    <mergeCell ref="B302:B311"/>
    <mergeCell ref="X153:AA153"/>
    <mergeCell ref="X156:Y156"/>
    <mergeCell ref="X152:AA152"/>
    <mergeCell ref="X171:AA171"/>
    <mergeCell ref="X165:AA165"/>
    <mergeCell ref="S258:V258"/>
    <mergeCell ref="S260:V260"/>
    <mergeCell ref="X101:Y101"/>
    <mergeCell ref="S250:V250"/>
    <mergeCell ref="I292:L292"/>
    <mergeCell ref="I309:L309"/>
    <mergeCell ref="N100:Q100"/>
    <mergeCell ref="D110:G110"/>
    <mergeCell ref="X205:AA205"/>
    <mergeCell ref="X206:AA206"/>
    <mergeCell ref="X218:AA218"/>
    <mergeCell ref="P199:Q199"/>
    <mergeCell ref="U209:V209"/>
    <mergeCell ref="X215:AA215"/>
    <mergeCell ref="N218:Q218"/>
    <mergeCell ref="S218:V218"/>
    <mergeCell ref="Z199:AA199"/>
    <mergeCell ref="I202:L202"/>
    <mergeCell ref="X242:AA242"/>
    <mergeCell ref="X243:Y243"/>
    <mergeCell ref="N241:Q241"/>
    <mergeCell ref="N205:Q205"/>
    <mergeCell ref="P243:Q243"/>
    <mergeCell ref="X108:AA108"/>
    <mergeCell ref="N243:O243"/>
    <mergeCell ref="K243:L243"/>
    <mergeCell ref="I257:L257"/>
    <mergeCell ref="S263:V263"/>
    <mergeCell ref="X199:Y199"/>
    <mergeCell ref="D195:G195"/>
    <mergeCell ref="I208:L208"/>
    <mergeCell ref="Z111:AA111"/>
    <mergeCell ref="N193:Q193"/>
    <mergeCell ref="X182:AA182"/>
    <mergeCell ref="D228:G228"/>
    <mergeCell ref="D229:E229"/>
    <mergeCell ref="F229:G229"/>
    <mergeCell ref="S239:V239"/>
    <mergeCell ref="D246:G246"/>
    <mergeCell ref="N234:Q234"/>
    <mergeCell ref="N239:Q239"/>
    <mergeCell ref="S207:V207"/>
    <mergeCell ref="D235:G235"/>
    <mergeCell ref="P209:Q209"/>
    <mergeCell ref="S235:V235"/>
    <mergeCell ref="I241:L241"/>
    <mergeCell ref="N242:Q242"/>
    <mergeCell ref="U219:V219"/>
    <mergeCell ref="I216:L216"/>
    <mergeCell ref="N237:Q237"/>
    <mergeCell ref="S240:V240"/>
    <mergeCell ref="K219:L219"/>
    <mergeCell ref="N219:O219"/>
    <mergeCell ref="I240:L240"/>
    <mergeCell ref="N235:Q235"/>
    <mergeCell ref="S243:T243"/>
    <mergeCell ref="S219:T219"/>
    <mergeCell ref="D232:AA232"/>
    <mergeCell ref="D241:G241"/>
    <mergeCell ref="S238:V238"/>
    <mergeCell ref="X213:AA213"/>
    <mergeCell ref="S241:V241"/>
    <mergeCell ref="X212:AA212"/>
    <mergeCell ref="N213:Q213"/>
    <mergeCell ref="D226:G226"/>
    <mergeCell ref="D227:G227"/>
    <mergeCell ref="B313:B322"/>
    <mergeCell ref="D315:G315"/>
    <mergeCell ref="B280:B289"/>
    <mergeCell ref="U310:V310"/>
    <mergeCell ref="N309:Q309"/>
    <mergeCell ref="D318:G318"/>
    <mergeCell ref="D304:G304"/>
    <mergeCell ref="D299:E299"/>
    <mergeCell ref="B291:B300"/>
    <mergeCell ref="D308:G308"/>
    <mergeCell ref="N320:Q320"/>
    <mergeCell ref="N317:Q317"/>
    <mergeCell ref="N245:Q245"/>
    <mergeCell ref="S307:V307"/>
    <mergeCell ref="I287:L287"/>
    <mergeCell ref="D285:G285"/>
    <mergeCell ref="S298:V298"/>
    <mergeCell ref="D254:E254"/>
    <mergeCell ref="D249:G249"/>
    <mergeCell ref="D281:G281"/>
    <mergeCell ref="D278:AA278"/>
    <mergeCell ref="D250:G250"/>
    <mergeCell ref="S257:V257"/>
    <mergeCell ref="S262:V262"/>
    <mergeCell ref="D292:G292"/>
    <mergeCell ref="F310:G310"/>
    <mergeCell ref="I249:L249"/>
    <mergeCell ref="X287:AA287"/>
    <mergeCell ref="X303:AA303"/>
    <mergeCell ref="N297:Q297"/>
    <mergeCell ref="X304:AA304"/>
    <mergeCell ref="S303:V303"/>
    <mergeCell ref="D234:G234"/>
    <mergeCell ref="S215:V215"/>
    <mergeCell ref="X238:AA238"/>
    <mergeCell ref="D243:E243"/>
    <mergeCell ref="X240:AA240"/>
    <mergeCell ref="X186:AA186"/>
    <mergeCell ref="X183:AA183"/>
    <mergeCell ref="S186:V186"/>
    <mergeCell ref="X185:AA185"/>
    <mergeCell ref="N217:Q217"/>
    <mergeCell ref="N202:Q202"/>
    <mergeCell ref="N203:Q203"/>
    <mergeCell ref="N183:Q183"/>
    <mergeCell ref="X187:AA187"/>
    <mergeCell ref="I188:L188"/>
    <mergeCell ref="I192:L192"/>
    <mergeCell ref="N207:Q207"/>
    <mergeCell ref="N208:Q208"/>
    <mergeCell ref="N209:O209"/>
    <mergeCell ref="X189:Y189"/>
    <mergeCell ref="X188:AA188"/>
    <mergeCell ref="X192:AA197"/>
    <mergeCell ref="S189:T189"/>
    <mergeCell ref="X198:AA198"/>
    <mergeCell ref="X217:AA217"/>
    <mergeCell ref="X209:Y209"/>
    <mergeCell ref="I183:L183"/>
    <mergeCell ref="I189:J189"/>
    <mergeCell ref="X216:AA216"/>
    <mergeCell ref="U199:V199"/>
    <mergeCell ref="P189:Q189"/>
    <mergeCell ref="Z189:AA189"/>
    <mergeCell ref="D178:E178"/>
    <mergeCell ref="D169:G174"/>
    <mergeCell ref="S185:V185"/>
    <mergeCell ref="S166:V166"/>
    <mergeCell ref="U167:V167"/>
    <mergeCell ref="N189:O189"/>
    <mergeCell ref="D212:G217"/>
    <mergeCell ref="I212:L212"/>
    <mergeCell ref="D208:G208"/>
    <mergeCell ref="K199:L199"/>
    <mergeCell ref="I203:L203"/>
    <mergeCell ref="I206:L206"/>
    <mergeCell ref="D197:G197"/>
    <mergeCell ref="I217:L217"/>
    <mergeCell ref="P178:Q178"/>
    <mergeCell ref="I193:L193"/>
    <mergeCell ref="D193:G193"/>
    <mergeCell ref="D209:E209"/>
    <mergeCell ref="I187:L187"/>
    <mergeCell ref="S182:V182"/>
    <mergeCell ref="S187:V187"/>
    <mergeCell ref="I178:J178"/>
    <mergeCell ref="N187:Q187"/>
    <mergeCell ref="S206:V206"/>
    <mergeCell ref="N212:Q212"/>
    <mergeCell ref="S212:V212"/>
    <mergeCell ref="S199:T199"/>
    <mergeCell ref="N197:Q197"/>
    <mergeCell ref="S195:V195"/>
    <mergeCell ref="N117:Q117"/>
    <mergeCell ref="N167:O167"/>
    <mergeCell ref="S167:T167"/>
    <mergeCell ref="N120:Q120"/>
    <mergeCell ref="X128:AA128"/>
    <mergeCell ref="S144:V144"/>
    <mergeCell ref="S145:T145"/>
    <mergeCell ref="N155:Q155"/>
    <mergeCell ref="Z131:AA131"/>
    <mergeCell ref="I145:J145"/>
    <mergeCell ref="S128:V128"/>
    <mergeCell ref="S155:V155"/>
    <mergeCell ref="X150:AA150"/>
    <mergeCell ref="X140:AA140"/>
    <mergeCell ref="N164:Q164"/>
    <mergeCell ref="N147:Q152"/>
    <mergeCell ref="N136:Q136"/>
    <mergeCell ref="I152:L152"/>
    <mergeCell ref="I153:L153"/>
    <mergeCell ref="N145:O145"/>
    <mergeCell ref="I139:L139"/>
    <mergeCell ref="I140:L140"/>
    <mergeCell ref="N101:O101"/>
    <mergeCell ref="E102:F102"/>
    <mergeCell ref="X130:AA130"/>
    <mergeCell ref="D155:G155"/>
    <mergeCell ref="D176:G176"/>
    <mergeCell ref="D142:G142"/>
    <mergeCell ref="D153:G153"/>
    <mergeCell ref="D140:G140"/>
    <mergeCell ref="F167:G167"/>
    <mergeCell ref="D158:G163"/>
    <mergeCell ref="D167:E167"/>
    <mergeCell ref="D149:G149"/>
    <mergeCell ref="F145:G145"/>
    <mergeCell ref="S156:T156"/>
    <mergeCell ref="D165:G165"/>
    <mergeCell ref="I164:L164"/>
    <mergeCell ref="N165:Q165"/>
    <mergeCell ref="X129:AA129"/>
    <mergeCell ref="X143:AA143"/>
    <mergeCell ref="X137:AA137"/>
    <mergeCell ref="S136:V136"/>
    <mergeCell ref="X142:AA142"/>
    <mergeCell ref="X148:AA148"/>
    <mergeCell ref="X151:AA151"/>
    <mergeCell ref="N169:Q174"/>
    <mergeCell ref="S154:V154"/>
    <mergeCell ref="U156:V156"/>
    <mergeCell ref="S143:V143"/>
    <mergeCell ref="S153:V153"/>
    <mergeCell ref="X154:AA154"/>
    <mergeCell ref="P167:Q167"/>
    <mergeCell ref="X167:Y167"/>
    <mergeCell ref="B136:B178"/>
    <mergeCell ref="X178:Y178"/>
    <mergeCell ref="N175:Q175"/>
    <mergeCell ref="N176:Q176"/>
    <mergeCell ref="N156:O156"/>
    <mergeCell ref="S176:V176"/>
    <mergeCell ref="I158:L163"/>
    <mergeCell ref="Z178:AA178"/>
    <mergeCell ref="X158:AA163"/>
    <mergeCell ref="X164:AA164"/>
    <mergeCell ref="N137:Q137"/>
    <mergeCell ref="X109:AA109"/>
    <mergeCell ref="X169:AA169"/>
    <mergeCell ref="Z156:AA156"/>
    <mergeCell ref="Z145:AA145"/>
    <mergeCell ref="S118:V118"/>
    <mergeCell ref="X121:Y121"/>
    <mergeCell ref="X136:AA136"/>
    <mergeCell ref="N140:Q140"/>
    <mergeCell ref="N139:Q139"/>
    <mergeCell ref="N109:Q109"/>
    <mergeCell ref="S177:V177"/>
    <mergeCell ref="X177:AA177"/>
    <mergeCell ref="N141:Q141"/>
    <mergeCell ref="X141:AA141"/>
    <mergeCell ref="D141:G141"/>
    <mergeCell ref="N144:Q144"/>
    <mergeCell ref="I143:L143"/>
    <mergeCell ref="S121:T121"/>
    <mergeCell ref="X147:AA147"/>
    <mergeCell ref="X155:AA155"/>
    <mergeCell ref="X170:AA170"/>
    <mergeCell ref="X89:AA89"/>
    <mergeCell ref="X90:AA90"/>
    <mergeCell ref="X94:AA94"/>
    <mergeCell ref="X95:AA95"/>
    <mergeCell ref="P101:Q101"/>
    <mergeCell ref="X139:AA139"/>
    <mergeCell ref="X126:AA126"/>
    <mergeCell ref="N98:Q98"/>
    <mergeCell ref="X110:AA110"/>
    <mergeCell ref="D111:E111"/>
    <mergeCell ref="S124:V124"/>
    <mergeCell ref="K101:L101"/>
    <mergeCell ref="U121:V121"/>
    <mergeCell ref="I114:L114"/>
    <mergeCell ref="X115:AA115"/>
    <mergeCell ref="Z121:AA121"/>
    <mergeCell ref="Z91:AA91"/>
    <mergeCell ref="I94:L94"/>
    <mergeCell ref="D99:G99"/>
    <mergeCell ref="I136:L136"/>
    <mergeCell ref="D131:E131"/>
    <mergeCell ref="I115:L115"/>
    <mergeCell ref="I117:L117"/>
    <mergeCell ref="I118:L118"/>
    <mergeCell ref="N121:O121"/>
    <mergeCell ref="N105:Q105"/>
    <mergeCell ref="S131:T131"/>
    <mergeCell ref="S126:V126"/>
    <mergeCell ref="X117:AA117"/>
    <mergeCell ref="S130:V130"/>
    <mergeCell ref="N94:Q94"/>
    <mergeCell ref="D101:E101"/>
    <mergeCell ref="S55:V55"/>
    <mergeCell ref="N91:O91"/>
    <mergeCell ref="N158:Q163"/>
    <mergeCell ref="D152:G152"/>
    <mergeCell ref="K178:L178"/>
    <mergeCell ref="D144:G144"/>
    <mergeCell ref="U131:V131"/>
    <mergeCell ref="K156:L156"/>
    <mergeCell ref="N177:Q177"/>
    <mergeCell ref="N111:O111"/>
    <mergeCell ref="D114:G114"/>
    <mergeCell ref="N118:Q118"/>
    <mergeCell ref="D130:G130"/>
    <mergeCell ref="D119:G119"/>
    <mergeCell ref="N119:Q119"/>
    <mergeCell ref="S119:V119"/>
    <mergeCell ref="D135:AA135"/>
    <mergeCell ref="I131:J131"/>
    <mergeCell ref="D134:AA134"/>
    <mergeCell ref="S120:V120"/>
    <mergeCell ref="I90:L90"/>
    <mergeCell ref="N89:Q89"/>
    <mergeCell ref="S94:V94"/>
    <mergeCell ref="I124:L129"/>
    <mergeCell ref="X105:AA105"/>
    <mergeCell ref="S101:T101"/>
    <mergeCell ref="U101:V101"/>
    <mergeCell ref="D94:G94"/>
    <mergeCell ref="D95:G95"/>
    <mergeCell ref="S95:V95"/>
    <mergeCell ref="S97:V97"/>
    <mergeCell ref="S98:V98"/>
    <mergeCell ref="X45:AA45"/>
    <mergeCell ref="S114:V114"/>
    <mergeCell ref="X118:AA118"/>
    <mergeCell ref="D120:G120"/>
    <mergeCell ref="X119:AA119"/>
    <mergeCell ref="F101:G101"/>
    <mergeCell ref="I104:L104"/>
    <mergeCell ref="I105:L105"/>
    <mergeCell ref="P111:Q111"/>
    <mergeCell ref="I111:J111"/>
    <mergeCell ref="K111:L111"/>
    <mergeCell ref="K121:L121"/>
    <mergeCell ref="N104:Q104"/>
    <mergeCell ref="F121:G121"/>
    <mergeCell ref="I108:L108"/>
    <mergeCell ref="S104:V104"/>
    <mergeCell ref="S105:V105"/>
    <mergeCell ref="N110:Q110"/>
    <mergeCell ref="X87:AA87"/>
    <mergeCell ref="I101:J101"/>
    <mergeCell ref="J102:K102"/>
    <mergeCell ref="N108:Q108"/>
    <mergeCell ref="N99:Q99"/>
    <mergeCell ref="D118:G118"/>
    <mergeCell ref="D115:G115"/>
    <mergeCell ref="D117:G117"/>
    <mergeCell ref="D56:G56"/>
    <mergeCell ref="S109:V109"/>
    <mergeCell ref="D88:G88"/>
    <mergeCell ref="N55:Q55"/>
    <mergeCell ref="F47:G47"/>
    <mergeCell ref="D98:G98"/>
    <mergeCell ref="U1:X1"/>
    <mergeCell ref="U57:V57"/>
    <mergeCell ref="X55:AA55"/>
    <mergeCell ref="T25:W25"/>
    <mergeCell ref="T27:W27"/>
    <mergeCell ref="T28:W28"/>
    <mergeCell ref="X56:AA56"/>
    <mergeCell ref="X36:AA36"/>
    <mergeCell ref="S56:V56"/>
    <mergeCell ref="X57:Y57"/>
    <mergeCell ref="Z57:AA57"/>
    <mergeCell ref="X32:AA32"/>
    <mergeCell ref="R22:S22"/>
    <mergeCell ref="R25:S25"/>
    <mergeCell ref="Z47:AA47"/>
    <mergeCell ref="N57:O57"/>
    <mergeCell ref="D19:AA19"/>
    <mergeCell ref="X29:AA29"/>
    <mergeCell ref="T21:AA21"/>
    <mergeCell ref="R27:S27"/>
    <mergeCell ref="D55:G55"/>
    <mergeCell ref="I55:L55"/>
    <mergeCell ref="I45:L45"/>
    <mergeCell ref="X22:AA22"/>
    <mergeCell ref="I27:K27"/>
    <mergeCell ref="D23:F23"/>
    <mergeCell ref="D25:F25"/>
    <mergeCell ref="D27:F27"/>
    <mergeCell ref="G22:H22"/>
    <mergeCell ref="I22:K22"/>
    <mergeCell ref="I23:K23"/>
    <mergeCell ref="B20:AB20"/>
    <mergeCell ref="T22:W22"/>
    <mergeCell ref="X25:AA25"/>
    <mergeCell ref="S50:V54"/>
    <mergeCell ref="I97:L97"/>
    <mergeCell ref="I85:L85"/>
    <mergeCell ref="I88:L88"/>
    <mergeCell ref="X84:AA84"/>
    <mergeCell ref="S85:V85"/>
    <mergeCell ref="S87:V87"/>
    <mergeCell ref="I89:L89"/>
    <mergeCell ref="D97:G97"/>
    <mergeCell ref="D84:G84"/>
    <mergeCell ref="I47:J47"/>
    <mergeCell ref="K47:L47"/>
    <mergeCell ref="I91:J91"/>
    <mergeCell ref="D57:E57"/>
    <mergeCell ref="N90:Q90"/>
    <mergeCell ref="F57:G57"/>
    <mergeCell ref="I57:J57"/>
    <mergeCell ref="X97:AA97"/>
    <mergeCell ref="S88:V88"/>
    <mergeCell ref="X27:AA27"/>
    <mergeCell ref="X85:AA85"/>
    <mergeCell ref="D47:E47"/>
    <mergeCell ref="S47:T47"/>
    <mergeCell ref="U47:V47"/>
    <mergeCell ref="N97:Q97"/>
    <mergeCell ref="N56:Q56"/>
    <mergeCell ref="K91:L91"/>
    <mergeCell ref="L32:M32"/>
    <mergeCell ref="S91:T91"/>
    <mergeCell ref="D35:F35"/>
    <mergeCell ref="T36:W36"/>
    <mergeCell ref="X88:AA88"/>
    <mergeCell ref="S84:V84"/>
    <mergeCell ref="D85:G85"/>
    <mergeCell ref="D87:G87"/>
    <mergeCell ref="P57:Q57"/>
    <mergeCell ref="K57:L57"/>
    <mergeCell ref="G31:H31"/>
    <mergeCell ref="R28:S28"/>
    <mergeCell ref="I87:L87"/>
    <mergeCell ref="N88:Q88"/>
    <mergeCell ref="S46:V46"/>
    <mergeCell ref="I50:L54"/>
    <mergeCell ref="N85:Q85"/>
    <mergeCell ref="N87:Q87"/>
    <mergeCell ref="X30:AA30"/>
    <mergeCell ref="X46:AA46"/>
    <mergeCell ref="X28:AA28"/>
    <mergeCell ref="R30:S30"/>
    <mergeCell ref="I31:K31"/>
    <mergeCell ref="T29:W29"/>
    <mergeCell ref="D38:AA38"/>
    <mergeCell ref="D28:F28"/>
    <mergeCell ref="D29:F29"/>
    <mergeCell ref="X47:Y47"/>
    <mergeCell ref="N31:O31"/>
    <mergeCell ref="I84:L84"/>
    <mergeCell ref="D67:E67"/>
    <mergeCell ref="D30:F30"/>
    <mergeCell ref="D32:F32"/>
    <mergeCell ref="D33:F33"/>
    <mergeCell ref="I29:K29"/>
    <mergeCell ref="T32:W32"/>
    <mergeCell ref="N46:Q46"/>
    <mergeCell ref="I32:K32"/>
    <mergeCell ref="G28:H28"/>
    <mergeCell ref="G29:H29"/>
    <mergeCell ref="X239:AA239"/>
    <mergeCell ref="S234:V234"/>
    <mergeCell ref="I238:L238"/>
    <mergeCell ref="S100:V100"/>
    <mergeCell ref="I120:L120"/>
    <mergeCell ref="X100:AA100"/>
    <mergeCell ref="X98:AA98"/>
    <mergeCell ref="S99:V99"/>
    <mergeCell ref="D100:G100"/>
    <mergeCell ref="P131:Q131"/>
    <mergeCell ref="X124:AA124"/>
    <mergeCell ref="D147:G147"/>
    <mergeCell ref="D151:G151"/>
    <mergeCell ref="X144:AA144"/>
    <mergeCell ref="D148:G148"/>
    <mergeCell ref="I151:L151"/>
    <mergeCell ref="S125:V125"/>
    <mergeCell ref="X125:AA125"/>
    <mergeCell ref="D145:E145"/>
    <mergeCell ref="X131:Y131"/>
    <mergeCell ref="P121:Q121"/>
    <mergeCell ref="T30:W30"/>
    <mergeCell ref="D188:G188"/>
    <mergeCell ref="S188:V188"/>
    <mergeCell ref="N35:O35"/>
    <mergeCell ref="D34:F34"/>
    <mergeCell ref="G34:H34"/>
    <mergeCell ref="X111:Y111"/>
    <mergeCell ref="I165:L165"/>
    <mergeCell ref="X145:Y145"/>
    <mergeCell ref="D185:G185"/>
    <mergeCell ref="D164:G164"/>
    <mergeCell ref="K167:L167"/>
    <mergeCell ref="I176:L176"/>
    <mergeCell ref="I167:J167"/>
    <mergeCell ref="N185:Q185"/>
    <mergeCell ref="D166:G166"/>
    <mergeCell ref="S183:V183"/>
    <mergeCell ref="X120:AA120"/>
    <mergeCell ref="F156:G156"/>
    <mergeCell ref="X173:AA173"/>
    <mergeCell ref="S175:V175"/>
    <mergeCell ref="N178:O178"/>
    <mergeCell ref="D156:E156"/>
    <mergeCell ref="D154:G154"/>
    <mergeCell ref="I154:L154"/>
    <mergeCell ref="U145:V145"/>
    <mergeCell ref="I141:L141"/>
    <mergeCell ref="I155:L155"/>
    <mergeCell ref="K145:L145"/>
    <mergeCell ref="I148:L148"/>
    <mergeCell ref="X176:AA176"/>
    <mergeCell ref="D175:G175"/>
    <mergeCell ref="D182:G182"/>
    <mergeCell ref="S139:V139"/>
    <mergeCell ref="S142:V142"/>
    <mergeCell ref="S147:V152"/>
    <mergeCell ref="N131:O131"/>
    <mergeCell ref="Z167:AA167"/>
    <mergeCell ref="D260:G260"/>
    <mergeCell ref="D265:E265"/>
    <mergeCell ref="N253:Q253"/>
    <mergeCell ref="N257:Q257"/>
    <mergeCell ref="D275:G275"/>
    <mergeCell ref="I275:L275"/>
    <mergeCell ref="D272:G272"/>
    <mergeCell ref="I272:L272"/>
    <mergeCell ref="N285:Q285"/>
    <mergeCell ref="S267:V267"/>
    <mergeCell ref="S268:V268"/>
    <mergeCell ref="S269:V269"/>
    <mergeCell ref="X256:AA261"/>
    <mergeCell ref="S285:V285"/>
    <mergeCell ref="N256:Q256"/>
    <mergeCell ref="I265:J265"/>
    <mergeCell ref="K265:L265"/>
    <mergeCell ref="P265:Q265"/>
    <mergeCell ref="X263:AA263"/>
    <mergeCell ref="F254:G254"/>
    <mergeCell ref="D257:G257"/>
    <mergeCell ref="X284:AA284"/>
    <mergeCell ref="D268:G268"/>
    <mergeCell ref="D261:G261"/>
    <mergeCell ref="D187:G187"/>
    <mergeCell ref="I147:L147"/>
    <mergeCell ref="I144:L144"/>
    <mergeCell ref="I142:L142"/>
    <mergeCell ref="N142:Q142"/>
    <mergeCell ref="S193:V193"/>
    <mergeCell ref="S192:V192"/>
    <mergeCell ref="I213:L213"/>
    <mergeCell ref="K189:L189"/>
    <mergeCell ref="N188:Q188"/>
    <mergeCell ref="D137:G137"/>
    <mergeCell ref="I175:L175"/>
    <mergeCell ref="F178:G178"/>
    <mergeCell ref="N186:Q186"/>
    <mergeCell ref="I185:L185"/>
    <mergeCell ref="I177:L177"/>
    <mergeCell ref="I186:L186"/>
    <mergeCell ref="S164:V164"/>
    <mergeCell ref="P145:Q145"/>
    <mergeCell ref="N153:Q153"/>
    <mergeCell ref="I182:L182"/>
    <mergeCell ref="D177:G177"/>
    <mergeCell ref="S202:V202"/>
    <mergeCell ref="N192:Q192"/>
    <mergeCell ref="F209:G209"/>
    <mergeCell ref="S198:V198"/>
    <mergeCell ref="N198:Q198"/>
    <mergeCell ref="S197:V197"/>
    <mergeCell ref="S196:V196"/>
    <mergeCell ref="N195:Q195"/>
    <mergeCell ref="D180:AA180"/>
    <mergeCell ref="S137:V137"/>
    <mergeCell ref="S288:T288"/>
    <mergeCell ref="I288:J288"/>
    <mergeCell ref="S165:V165"/>
    <mergeCell ref="P156:Q156"/>
    <mergeCell ref="X166:AA166"/>
    <mergeCell ref="I169:L174"/>
    <mergeCell ref="X175:AA175"/>
    <mergeCell ref="S178:T178"/>
    <mergeCell ref="N143:Q143"/>
    <mergeCell ref="X286:AA286"/>
    <mergeCell ref="X288:Y288"/>
    <mergeCell ref="S286:V286"/>
    <mergeCell ref="Z288:AA288"/>
    <mergeCell ref="X254:Y254"/>
    <mergeCell ref="X281:AA281"/>
    <mergeCell ref="S283:V283"/>
    <mergeCell ref="N182:Q182"/>
    <mergeCell ref="I195:L195"/>
    <mergeCell ref="I196:L196"/>
    <mergeCell ref="I199:J199"/>
    <mergeCell ref="N206:Q206"/>
    <mergeCell ref="S203:V203"/>
    <mergeCell ref="S205:V205"/>
    <mergeCell ref="I247:L247"/>
    <mergeCell ref="X207:AA207"/>
    <mergeCell ref="X208:AA208"/>
    <mergeCell ref="S321:T321"/>
    <mergeCell ref="D309:G309"/>
    <mergeCell ref="X327:AA327"/>
    <mergeCell ref="X298:AA298"/>
    <mergeCell ref="Z299:AA299"/>
    <mergeCell ref="S297:V297"/>
    <mergeCell ref="N298:Q298"/>
    <mergeCell ref="I294:L294"/>
    <mergeCell ref="I303:L303"/>
    <mergeCell ref="N303:Q303"/>
    <mergeCell ref="K310:L310"/>
    <mergeCell ref="N304:Q304"/>
    <mergeCell ref="X310:Y310"/>
    <mergeCell ref="I304:L304"/>
    <mergeCell ref="P310:Q310"/>
    <mergeCell ref="S309:V309"/>
    <mergeCell ref="P299:Q299"/>
    <mergeCell ref="S304:V304"/>
    <mergeCell ref="X302:AA302"/>
    <mergeCell ref="S315:V315"/>
    <mergeCell ref="N314:Q314"/>
    <mergeCell ref="I320:L320"/>
    <mergeCell ref="N318:Q318"/>
    <mergeCell ref="S318:V318"/>
    <mergeCell ref="D321:E321"/>
    <mergeCell ref="I307:L307"/>
    <mergeCell ref="I321:J321"/>
    <mergeCell ref="I313:L318"/>
    <mergeCell ref="K321:L321"/>
    <mergeCell ref="N302:Q302"/>
    <mergeCell ref="X299:Y299"/>
    <mergeCell ref="X291:AA296"/>
    <mergeCell ref="I350:L350"/>
    <mergeCell ref="I338:L338"/>
    <mergeCell ref="N340:Q340"/>
    <mergeCell ref="N328:Q328"/>
    <mergeCell ref="N330:Q330"/>
    <mergeCell ref="D349:G349"/>
    <mergeCell ref="D384:G384"/>
    <mergeCell ref="D375:G375"/>
    <mergeCell ref="N383:Q383"/>
    <mergeCell ref="D350:G350"/>
    <mergeCell ref="D340:G340"/>
    <mergeCell ref="D329:G329"/>
    <mergeCell ref="D335:G335"/>
    <mergeCell ref="D336:G336"/>
    <mergeCell ref="P343:Q343"/>
    <mergeCell ref="D381:G381"/>
    <mergeCell ref="N380:Q380"/>
    <mergeCell ref="I330:L330"/>
    <mergeCell ref="I354:J354"/>
    <mergeCell ref="I363:L363"/>
    <mergeCell ref="N363:Q363"/>
    <mergeCell ref="I364:L364"/>
    <mergeCell ref="I353:L353"/>
    <mergeCell ref="P354:Q354"/>
    <mergeCell ref="D332:E332"/>
    <mergeCell ref="F332:G332"/>
    <mergeCell ref="I381:L381"/>
    <mergeCell ref="D365:E365"/>
    <mergeCell ref="N381:Q381"/>
    <mergeCell ref="D354:E354"/>
    <mergeCell ref="N364:Q364"/>
    <mergeCell ref="I365:J365"/>
    <mergeCell ref="X360:AA360"/>
    <mergeCell ref="X361:AA361"/>
    <mergeCell ref="U376:V376"/>
    <mergeCell ref="D368:G373"/>
    <mergeCell ref="N375:Q375"/>
    <mergeCell ref="S375:V375"/>
    <mergeCell ref="I368:L373"/>
    <mergeCell ref="S373:V373"/>
    <mergeCell ref="D374:G374"/>
    <mergeCell ref="I374:L374"/>
    <mergeCell ref="S371:V371"/>
    <mergeCell ref="N372:Q372"/>
    <mergeCell ref="S372:V372"/>
    <mergeCell ref="F365:G365"/>
    <mergeCell ref="N385:Q385"/>
    <mergeCell ref="S385:V385"/>
    <mergeCell ref="N397:Q397"/>
    <mergeCell ref="S383:V383"/>
    <mergeCell ref="X388:Y388"/>
    <mergeCell ref="N365:O365"/>
    <mergeCell ref="S380:V380"/>
    <mergeCell ref="D383:G383"/>
    <mergeCell ref="K388:L388"/>
    <mergeCell ref="S388:T388"/>
    <mergeCell ref="S376:T376"/>
    <mergeCell ref="S357:V362"/>
    <mergeCell ref="S363:V363"/>
    <mergeCell ref="S364:V364"/>
    <mergeCell ref="S365:T365"/>
    <mergeCell ref="U365:V365"/>
    <mergeCell ref="D395:G395"/>
    <mergeCell ref="Z365:AA365"/>
    <mergeCell ref="S381:V381"/>
    <mergeCell ref="X385:AA385"/>
    <mergeCell ref="D390:AA390"/>
    <mergeCell ref="N411:O411"/>
    <mergeCell ref="I420:L420"/>
    <mergeCell ref="X415:AA415"/>
    <mergeCell ref="S409:V409"/>
    <mergeCell ref="X398:AA398"/>
    <mergeCell ref="X419:AA419"/>
    <mergeCell ref="I403:L403"/>
    <mergeCell ref="I399:L399"/>
    <mergeCell ref="X418:AA418"/>
    <mergeCell ref="I415:L415"/>
    <mergeCell ref="N403:Q408"/>
    <mergeCell ref="S404:V404"/>
    <mergeCell ref="I419:L419"/>
    <mergeCell ref="S397:V397"/>
    <mergeCell ref="S406:V406"/>
    <mergeCell ref="S407:V407"/>
    <mergeCell ref="D393:G393"/>
    <mergeCell ref="D411:E411"/>
    <mergeCell ref="P411:Q411"/>
    <mergeCell ref="D410:G410"/>
    <mergeCell ref="S387:V387"/>
    <mergeCell ref="D398:G398"/>
    <mergeCell ref="S400:T400"/>
    <mergeCell ref="I410:L410"/>
    <mergeCell ref="S393:V393"/>
    <mergeCell ref="D386:G386"/>
    <mergeCell ref="I388:J388"/>
    <mergeCell ref="I393:L393"/>
    <mergeCell ref="N399:Q399"/>
    <mergeCell ref="D448:AA448"/>
    <mergeCell ref="D403:G403"/>
    <mergeCell ref="N432:Q432"/>
    <mergeCell ref="U411:V411"/>
    <mergeCell ref="D426:G426"/>
    <mergeCell ref="D450:G450"/>
    <mergeCell ref="D454:G454"/>
    <mergeCell ref="I461:L461"/>
    <mergeCell ref="I442:L442"/>
    <mergeCell ref="D432:G432"/>
    <mergeCell ref="I432:L432"/>
    <mergeCell ref="I457:L457"/>
    <mergeCell ref="S457:V457"/>
    <mergeCell ref="S432:V432"/>
    <mergeCell ref="D453:G453"/>
    <mergeCell ref="I434:J434"/>
    <mergeCell ref="X416:AA416"/>
    <mergeCell ref="S422:V422"/>
    <mergeCell ref="N426:Q426"/>
    <mergeCell ref="D404:G404"/>
    <mergeCell ref="I404:L404"/>
    <mergeCell ref="X455:AA455"/>
    <mergeCell ref="X461:AA461"/>
    <mergeCell ref="S456:V456"/>
    <mergeCell ref="I443:L443"/>
    <mergeCell ref="N433:Q433"/>
    <mergeCell ref="S423:T423"/>
    <mergeCell ref="K423:L423"/>
    <mergeCell ref="I421:L421"/>
    <mergeCell ref="S451:V451"/>
    <mergeCell ref="D438:G438"/>
    <mergeCell ref="S437:V437"/>
    <mergeCell ref="S522:V522"/>
    <mergeCell ref="S410:V410"/>
    <mergeCell ref="S418:V418"/>
    <mergeCell ref="I433:L433"/>
    <mergeCell ref="I468:L468"/>
    <mergeCell ref="D502:G502"/>
    <mergeCell ref="I507:L507"/>
    <mergeCell ref="N502:Q502"/>
    <mergeCell ref="D503:G503"/>
    <mergeCell ref="N434:O434"/>
    <mergeCell ref="D441:G441"/>
    <mergeCell ref="S462:V462"/>
    <mergeCell ref="I426:L426"/>
    <mergeCell ref="I454:L454"/>
    <mergeCell ref="S450:V450"/>
    <mergeCell ref="D468:G468"/>
    <mergeCell ref="S491:T491"/>
    <mergeCell ref="U469:V469"/>
    <mergeCell ref="D442:G442"/>
    <mergeCell ref="D445:E445"/>
    <mergeCell ref="D451:G451"/>
    <mergeCell ref="S454:V454"/>
    <mergeCell ref="S487:V487"/>
    <mergeCell ref="N491:O491"/>
    <mergeCell ref="P491:Q491"/>
    <mergeCell ref="S488:V488"/>
    <mergeCell ref="D466:G466"/>
    <mergeCell ref="S466:V466"/>
    <mergeCell ref="D461:G461"/>
    <mergeCell ref="F458:G458"/>
    <mergeCell ref="I509:L509"/>
    <mergeCell ref="S461:V461"/>
    <mergeCell ref="X512:AA512"/>
    <mergeCell ref="D522:G522"/>
    <mergeCell ref="D516:G521"/>
    <mergeCell ref="N524:O524"/>
    <mergeCell ref="P524:Q524"/>
    <mergeCell ref="S523:V523"/>
    <mergeCell ref="N512:Q512"/>
    <mergeCell ref="I511:L511"/>
    <mergeCell ref="N511:Q511"/>
    <mergeCell ref="N506:Q506"/>
    <mergeCell ref="S506:V506"/>
    <mergeCell ref="S510:V510"/>
    <mergeCell ref="S516:V521"/>
    <mergeCell ref="S512:V512"/>
    <mergeCell ref="S503:V503"/>
    <mergeCell ref="I502:L502"/>
    <mergeCell ref="X516:AA521"/>
    <mergeCell ref="S524:T524"/>
    <mergeCell ref="U524:V524"/>
    <mergeCell ref="S502:V502"/>
    <mergeCell ref="D512:G512"/>
    <mergeCell ref="I506:L506"/>
    <mergeCell ref="X503:AA503"/>
    <mergeCell ref="F514:G514"/>
    <mergeCell ref="D524:E524"/>
    <mergeCell ref="F524:G524"/>
    <mergeCell ref="D523:G523"/>
    <mergeCell ref="N523:Q523"/>
    <mergeCell ref="P514:Q514"/>
    <mergeCell ref="I522:L522"/>
    <mergeCell ref="I514:J514"/>
    <mergeCell ref="I512:L512"/>
    <mergeCell ref="D455:G455"/>
    <mergeCell ref="D469:E469"/>
    <mergeCell ref="X496:AA496"/>
    <mergeCell ref="S464:V464"/>
    <mergeCell ref="S455:V455"/>
    <mergeCell ref="X464:AA464"/>
    <mergeCell ref="Z469:AA469"/>
    <mergeCell ref="S453:V453"/>
    <mergeCell ref="N503:Q503"/>
    <mergeCell ref="S507:V507"/>
    <mergeCell ref="D496:G501"/>
    <mergeCell ref="D506:G511"/>
    <mergeCell ref="N507:Q507"/>
    <mergeCell ref="X502:AA502"/>
    <mergeCell ref="X497:AA497"/>
    <mergeCell ref="N497:Q497"/>
    <mergeCell ref="I456:L456"/>
    <mergeCell ref="D473:G473"/>
    <mergeCell ref="D472:G472"/>
    <mergeCell ref="D504:G504"/>
    <mergeCell ref="I504:L504"/>
    <mergeCell ref="N504:Q504"/>
    <mergeCell ref="S504:V504"/>
    <mergeCell ref="X504:AA504"/>
    <mergeCell ref="I510:L510"/>
    <mergeCell ref="I453:L453"/>
    <mergeCell ref="D456:G456"/>
    <mergeCell ref="F480:G480"/>
    <mergeCell ref="S465:V465"/>
    <mergeCell ref="X458:Y458"/>
    <mergeCell ref="Z458:AA458"/>
    <mergeCell ref="S500:V500"/>
    <mergeCell ref="X501:AA501"/>
    <mergeCell ref="X500:AA500"/>
    <mergeCell ref="X462:AA462"/>
    <mergeCell ref="D490:G490"/>
    <mergeCell ref="X457:AA457"/>
    <mergeCell ref="N476:Q476"/>
    <mergeCell ref="N477:Q477"/>
    <mergeCell ref="N486:Q486"/>
    <mergeCell ref="N487:Q487"/>
    <mergeCell ref="N499:Q499"/>
    <mergeCell ref="X488:AA488"/>
    <mergeCell ref="S468:V468"/>
    <mergeCell ref="S469:T469"/>
    <mergeCell ref="S496:V496"/>
    <mergeCell ref="X469:Y469"/>
    <mergeCell ref="I458:J458"/>
    <mergeCell ref="D491:E491"/>
    <mergeCell ref="F491:G491"/>
    <mergeCell ref="I491:J491"/>
    <mergeCell ref="K491:L491"/>
    <mergeCell ref="N496:Q496"/>
    <mergeCell ref="S499:V499"/>
    <mergeCell ref="I462:L462"/>
    <mergeCell ref="D462:G462"/>
    <mergeCell ref="S497:V497"/>
    <mergeCell ref="D467:G467"/>
    <mergeCell ref="S458:T458"/>
    <mergeCell ref="D489:G489"/>
    <mergeCell ref="I489:L489"/>
    <mergeCell ref="N501:Q501"/>
    <mergeCell ref="K458:L458"/>
    <mergeCell ref="I496:L501"/>
    <mergeCell ref="X456:AA456"/>
    <mergeCell ref="I441:L441"/>
    <mergeCell ref="I467:L467"/>
    <mergeCell ref="X467:AA467"/>
    <mergeCell ref="I431:L431"/>
    <mergeCell ref="Z434:AA434"/>
    <mergeCell ref="K469:L469"/>
    <mergeCell ref="D479:G479"/>
    <mergeCell ref="S486:V486"/>
    <mergeCell ref="D476:G476"/>
    <mergeCell ref="I476:L476"/>
    <mergeCell ref="X426:AA431"/>
    <mergeCell ref="I451:L451"/>
    <mergeCell ref="N427:Q427"/>
    <mergeCell ref="D443:G443"/>
    <mergeCell ref="D478:G478"/>
    <mergeCell ref="I478:L478"/>
    <mergeCell ref="I473:L473"/>
    <mergeCell ref="S484:V484"/>
    <mergeCell ref="N478:Q478"/>
    <mergeCell ref="N479:Q479"/>
    <mergeCell ref="N480:O480"/>
    <mergeCell ref="P480:Q480"/>
    <mergeCell ref="N472:Q472"/>
    <mergeCell ref="N473:Q473"/>
    <mergeCell ref="N475:Q475"/>
    <mergeCell ref="X486:AA486"/>
    <mergeCell ref="X468:AA468"/>
    <mergeCell ref="I472:L472"/>
    <mergeCell ref="I469:J469"/>
    <mergeCell ref="X466:AA466"/>
    <mergeCell ref="I466:L466"/>
    <mergeCell ref="I450:L450"/>
    <mergeCell ref="X420:AA420"/>
    <mergeCell ref="N410:Q410"/>
    <mergeCell ref="I406:L406"/>
    <mergeCell ref="I429:L429"/>
    <mergeCell ref="D427:G427"/>
    <mergeCell ref="U434:V434"/>
    <mergeCell ref="D440:G440"/>
    <mergeCell ref="D434:E434"/>
    <mergeCell ref="D406:G406"/>
    <mergeCell ref="K411:L411"/>
    <mergeCell ref="D421:G421"/>
    <mergeCell ref="N421:Q421"/>
    <mergeCell ref="I416:L416"/>
    <mergeCell ref="I418:L418"/>
    <mergeCell ref="F411:G411"/>
    <mergeCell ref="D433:G433"/>
    <mergeCell ref="S444:V444"/>
    <mergeCell ref="S445:T445"/>
    <mergeCell ref="U445:V445"/>
    <mergeCell ref="S408:V408"/>
    <mergeCell ref="D423:E423"/>
    <mergeCell ref="N422:Q422"/>
    <mergeCell ref="X432:AA432"/>
    <mergeCell ref="P434:Q434"/>
    <mergeCell ref="X433:AA433"/>
    <mergeCell ref="F434:G434"/>
    <mergeCell ref="X434:Y434"/>
    <mergeCell ref="X421:AA421"/>
    <mergeCell ref="S426:V431"/>
    <mergeCell ref="K434:L434"/>
    <mergeCell ref="N429:Q429"/>
    <mergeCell ref="X353:AA353"/>
    <mergeCell ref="X349:AA349"/>
    <mergeCell ref="X350:AA350"/>
    <mergeCell ref="X354:Y354"/>
    <mergeCell ref="I352:L352"/>
    <mergeCell ref="N324:Q324"/>
    <mergeCell ref="X329:AA329"/>
    <mergeCell ref="X328:AA328"/>
    <mergeCell ref="S341:V341"/>
    <mergeCell ref="Z332:AA332"/>
    <mergeCell ref="Z310:AA310"/>
    <mergeCell ref="F400:G400"/>
    <mergeCell ref="F423:G423"/>
    <mergeCell ref="S420:V420"/>
    <mergeCell ref="S421:V421"/>
    <mergeCell ref="D397:G397"/>
    <mergeCell ref="S434:T434"/>
    <mergeCell ref="X399:AA399"/>
    <mergeCell ref="I423:J423"/>
    <mergeCell ref="S411:T411"/>
    <mergeCell ref="X335:AA340"/>
    <mergeCell ref="X396:AA396"/>
    <mergeCell ref="X381:AA381"/>
    <mergeCell ref="X384:AA384"/>
    <mergeCell ref="X383:AA383"/>
    <mergeCell ref="X393:AA393"/>
    <mergeCell ref="I396:L396"/>
    <mergeCell ref="X395:AA395"/>
    <mergeCell ref="X397:AA397"/>
    <mergeCell ref="U388:V388"/>
    <mergeCell ref="X386:AA386"/>
    <mergeCell ref="X387:AA387"/>
    <mergeCell ref="U343:V343"/>
    <mergeCell ref="X315:AA315"/>
    <mergeCell ref="D307:G307"/>
    <mergeCell ref="P321:Q321"/>
    <mergeCell ref="Z321:AA321"/>
    <mergeCell ref="D314:G314"/>
    <mergeCell ref="X325:AA325"/>
    <mergeCell ref="X318:AA318"/>
    <mergeCell ref="S320:V320"/>
    <mergeCell ref="S313:V313"/>
    <mergeCell ref="X332:Y332"/>
    <mergeCell ref="D320:G320"/>
    <mergeCell ref="D319:G319"/>
    <mergeCell ref="S310:T310"/>
    <mergeCell ref="N341:Q341"/>
    <mergeCell ref="U321:V321"/>
    <mergeCell ref="D330:G330"/>
    <mergeCell ref="X320:AA320"/>
    <mergeCell ref="N315:Q315"/>
    <mergeCell ref="X309:AA309"/>
    <mergeCell ref="S325:V325"/>
    <mergeCell ref="X319:AA319"/>
    <mergeCell ref="F321:G321"/>
    <mergeCell ref="N308:Q308"/>
    <mergeCell ref="X308:AA308"/>
    <mergeCell ref="X307:AA307"/>
    <mergeCell ref="X313:AA313"/>
    <mergeCell ref="N313:Q313"/>
    <mergeCell ref="N310:O310"/>
    <mergeCell ref="N327:Q327"/>
    <mergeCell ref="S327:V327"/>
    <mergeCell ref="X321:Y321"/>
    <mergeCell ref="D16:H17"/>
    <mergeCell ref="J16:N17"/>
    <mergeCell ref="Q16:U17"/>
    <mergeCell ref="W16:AA17"/>
    <mergeCell ref="I533:L533"/>
    <mergeCell ref="D534:E534"/>
    <mergeCell ref="F534:G534"/>
    <mergeCell ref="I534:J534"/>
    <mergeCell ref="K534:L534"/>
    <mergeCell ref="I526:L531"/>
    <mergeCell ref="F469:G469"/>
    <mergeCell ref="D431:G431"/>
    <mergeCell ref="D437:G437"/>
    <mergeCell ref="I437:L437"/>
    <mergeCell ref="D465:G465"/>
    <mergeCell ref="D464:G464"/>
    <mergeCell ref="I464:L464"/>
    <mergeCell ref="D458:E458"/>
    <mergeCell ref="D457:G457"/>
    <mergeCell ref="D380:G380"/>
    <mergeCell ref="D514:E514"/>
    <mergeCell ref="X346:AA346"/>
    <mergeCell ref="F354:G354"/>
    <mergeCell ref="Z423:AA423"/>
    <mergeCell ref="S467:V467"/>
    <mergeCell ref="N431:Q431"/>
    <mergeCell ref="D526:G526"/>
    <mergeCell ref="D527:G527"/>
    <mergeCell ref="D529:G529"/>
    <mergeCell ref="D22:F22"/>
    <mergeCell ref="S336:V336"/>
    <mergeCell ref="G25:H25"/>
    <mergeCell ref="L24:M24"/>
    <mergeCell ref="N24:O24"/>
    <mergeCell ref="D26:F26"/>
    <mergeCell ref="I28:K28"/>
    <mergeCell ref="D21:O21"/>
    <mergeCell ref="L33:M33"/>
    <mergeCell ref="N22:O22"/>
    <mergeCell ref="N23:O23"/>
    <mergeCell ref="N25:O25"/>
    <mergeCell ref="N27:O27"/>
    <mergeCell ref="N28:O28"/>
    <mergeCell ref="N29:O29"/>
    <mergeCell ref="N30:O30"/>
    <mergeCell ref="N32:O32"/>
    <mergeCell ref="N33:O33"/>
    <mergeCell ref="L22:M22"/>
    <mergeCell ref="L23:M23"/>
    <mergeCell ref="L25:M25"/>
    <mergeCell ref="L27:M27"/>
    <mergeCell ref="L28:M28"/>
    <mergeCell ref="L29:M29"/>
    <mergeCell ref="L30:M30"/>
    <mergeCell ref="D24:F24"/>
    <mergeCell ref="G24:H24"/>
    <mergeCell ref="I24:K24"/>
    <mergeCell ref="G30:H30"/>
    <mergeCell ref="G32:H32"/>
    <mergeCell ref="G33:H33"/>
    <mergeCell ref="G23:H23"/>
    <mergeCell ref="G27:H27"/>
    <mergeCell ref="D31:F31"/>
    <mergeCell ref="I25:K25"/>
    <mergeCell ref="I34:K34"/>
    <mergeCell ref="L34:M34"/>
    <mergeCell ref="N34:O34"/>
    <mergeCell ref="G26:H26"/>
    <mergeCell ref="I26:K26"/>
    <mergeCell ref="N26:O26"/>
    <mergeCell ref="L26:M26"/>
    <mergeCell ref="L31:M31"/>
    <mergeCell ref="N319:Q319"/>
    <mergeCell ref="N306:Q306"/>
    <mergeCell ref="I302:L302"/>
    <mergeCell ref="N292:Q292"/>
    <mergeCell ref="N291:Q291"/>
    <mergeCell ref="N130:Q130"/>
    <mergeCell ref="D189:E189"/>
    <mergeCell ref="D183:G183"/>
    <mergeCell ref="D139:G139"/>
    <mergeCell ref="I149:L149"/>
    <mergeCell ref="D45:G45"/>
    <mergeCell ref="F111:G111"/>
    <mergeCell ref="I121:J121"/>
    <mergeCell ref="D121:E121"/>
    <mergeCell ref="D77:G77"/>
    <mergeCell ref="D78:G78"/>
    <mergeCell ref="D79:E79"/>
    <mergeCell ref="F79:G79"/>
    <mergeCell ref="N307:Q307"/>
    <mergeCell ref="D306:G306"/>
    <mergeCell ref="I308:L308"/>
    <mergeCell ref="I46:L46"/>
    <mergeCell ref="I306:L306"/>
    <mergeCell ref="D284:G284"/>
    <mergeCell ref="AC456:AF456"/>
    <mergeCell ref="AD457:AG457"/>
    <mergeCell ref="AD455:AG455"/>
    <mergeCell ref="I30:K30"/>
    <mergeCell ref="I33:K33"/>
    <mergeCell ref="D297:G297"/>
    <mergeCell ref="D298:G298"/>
    <mergeCell ref="D313:G313"/>
    <mergeCell ref="D302:G302"/>
    <mergeCell ref="K299:L299"/>
    <mergeCell ref="D303:G303"/>
    <mergeCell ref="I440:L440"/>
    <mergeCell ref="N415:Q415"/>
    <mergeCell ref="S347:V347"/>
    <mergeCell ref="X347:AA347"/>
    <mergeCell ref="D294:G294"/>
    <mergeCell ref="S399:V399"/>
    <mergeCell ref="D328:G328"/>
    <mergeCell ref="S308:V308"/>
    <mergeCell ref="S386:V386"/>
    <mergeCell ref="P400:Q400"/>
    <mergeCell ref="Z388:AA388"/>
    <mergeCell ref="N450:Q450"/>
    <mergeCell ref="F67:G67"/>
    <mergeCell ref="S169:V174"/>
    <mergeCell ref="D222:G222"/>
    <mergeCell ref="D223:G223"/>
    <mergeCell ref="D225:G225"/>
    <mergeCell ref="S351:V351"/>
    <mergeCell ref="X324:AA324"/>
    <mergeCell ref="D136:G136"/>
    <mergeCell ref="N400:O400"/>
    <mergeCell ref="S438:V438"/>
    <mergeCell ref="S440:V440"/>
    <mergeCell ref="S441:V441"/>
    <mergeCell ref="S442:V442"/>
    <mergeCell ref="S443:V443"/>
    <mergeCell ref="D202:G207"/>
    <mergeCell ref="S271:V271"/>
    <mergeCell ref="S272:V272"/>
    <mergeCell ref="S273:V273"/>
    <mergeCell ref="S274:V274"/>
    <mergeCell ref="S275:V275"/>
    <mergeCell ref="D65:G65"/>
    <mergeCell ref="D66:G66"/>
    <mergeCell ref="D70:AA70"/>
    <mergeCell ref="D400:E400"/>
    <mergeCell ref="S403:V403"/>
    <mergeCell ref="S416:V416"/>
    <mergeCell ref="I408:L408"/>
    <mergeCell ref="D409:G409"/>
    <mergeCell ref="I409:L409"/>
    <mergeCell ref="X422:AA422"/>
    <mergeCell ref="X352:AA352"/>
    <mergeCell ref="S329:V329"/>
    <mergeCell ref="I324:L324"/>
    <mergeCell ref="I384:L384"/>
    <mergeCell ref="N352:Q352"/>
    <mergeCell ref="D353:G353"/>
    <mergeCell ref="S368:V368"/>
    <mergeCell ref="S338:V338"/>
    <mergeCell ref="S339:V339"/>
    <mergeCell ref="S340:V340"/>
    <mergeCell ref="S343:T343"/>
    <mergeCell ref="X530:AA530"/>
    <mergeCell ref="G35:H35"/>
    <mergeCell ref="I35:K35"/>
    <mergeCell ref="L35:M35"/>
    <mergeCell ref="D488:G488"/>
    <mergeCell ref="I488:L488"/>
    <mergeCell ref="I490:L490"/>
    <mergeCell ref="D483:G483"/>
    <mergeCell ref="I483:L483"/>
    <mergeCell ref="D484:G484"/>
    <mergeCell ref="I484:L484"/>
    <mergeCell ref="D486:G486"/>
    <mergeCell ref="I486:L486"/>
    <mergeCell ref="D487:G487"/>
    <mergeCell ref="I487:L487"/>
    <mergeCell ref="S514:V514"/>
    <mergeCell ref="X478:AA478"/>
    <mergeCell ref="S479:V479"/>
    <mergeCell ref="X479:AA479"/>
    <mergeCell ref="X490:AA490"/>
    <mergeCell ref="S480:T480"/>
    <mergeCell ref="U480:V480"/>
    <mergeCell ref="X480:Y480"/>
    <mergeCell ref="Z480:AA480"/>
    <mergeCell ref="N483:Q483"/>
    <mergeCell ref="N484:Q484"/>
    <mergeCell ref="X499:AA499"/>
    <mergeCell ref="S513:V513"/>
    <mergeCell ref="S489:V489"/>
    <mergeCell ref="X489:AA489"/>
    <mergeCell ref="D494:AA494"/>
    <mergeCell ref="I513:L513"/>
    <mergeCell ref="X531:AA531"/>
    <mergeCell ref="X532:AA532"/>
    <mergeCell ref="X487:AA487"/>
    <mergeCell ref="X483:AA483"/>
    <mergeCell ref="X484:AA484"/>
    <mergeCell ref="S490:V490"/>
    <mergeCell ref="S478:V478"/>
    <mergeCell ref="S89:V89"/>
    <mergeCell ref="I95:L95"/>
    <mergeCell ref="S57:T57"/>
    <mergeCell ref="X306:AA306"/>
    <mergeCell ref="X314:AA314"/>
    <mergeCell ref="N321:O321"/>
    <mergeCell ref="X423:Y423"/>
    <mergeCell ref="N420:Q420"/>
    <mergeCell ref="S419:V419"/>
    <mergeCell ref="I455:L455"/>
    <mergeCell ref="K514:L514"/>
    <mergeCell ref="N514:O514"/>
    <mergeCell ref="I77:L77"/>
    <mergeCell ref="I78:L78"/>
    <mergeCell ref="I79:J79"/>
    <mergeCell ref="K79:L79"/>
    <mergeCell ref="N77:Q77"/>
    <mergeCell ref="N78:Q78"/>
    <mergeCell ref="N79:O79"/>
    <mergeCell ref="P79:Q79"/>
    <mergeCell ref="S72:V76"/>
    <mergeCell ref="S77:V77"/>
    <mergeCell ref="S78:V78"/>
    <mergeCell ref="S79:T79"/>
    <mergeCell ref="U79:V79"/>
    <mergeCell ref="X533:AA533"/>
    <mergeCell ref="X534:Y534"/>
    <mergeCell ref="Z534:AA534"/>
    <mergeCell ref="N451:Q451"/>
    <mergeCell ref="N453:Q453"/>
    <mergeCell ref="N454:Q454"/>
    <mergeCell ref="N455:Q455"/>
    <mergeCell ref="N456:Q456"/>
    <mergeCell ref="N457:Q457"/>
    <mergeCell ref="N458:O458"/>
    <mergeCell ref="P458:Q458"/>
    <mergeCell ref="X506:AA506"/>
    <mergeCell ref="X507:AA507"/>
    <mergeCell ref="X509:AA509"/>
    <mergeCell ref="X510:AA510"/>
    <mergeCell ref="X511:AA511"/>
    <mergeCell ref="X514:AA514"/>
    <mergeCell ref="X526:AA526"/>
    <mergeCell ref="X527:AA527"/>
    <mergeCell ref="X529:AA529"/>
    <mergeCell ref="N488:Q488"/>
    <mergeCell ref="N489:Q489"/>
    <mergeCell ref="N490:Q490"/>
    <mergeCell ref="S509:V509"/>
    <mergeCell ref="N510:Q510"/>
    <mergeCell ref="S511:V511"/>
    <mergeCell ref="S501:V501"/>
    <mergeCell ref="S483:V483"/>
    <mergeCell ref="X465:AA465"/>
    <mergeCell ref="X524:Y524"/>
    <mergeCell ref="Z524:AA524"/>
    <mergeCell ref="N522:Q522"/>
  </mergeCells>
  <phoneticPr fontId="3" type="noConversion"/>
  <conditionalFormatting sqref="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P388:Q388 K388:L388 F388:G388 F365:G365 K365:L365 P365:Q365 U365:V365 U354:V354 P354:Q354 F354:G354 F343:G343 K343:L343 P343:Q343 U343:V343 P332:Q332 K332:L332 F332:G332 F321:G321 K321:L321 P321:Q321 U310:V310 P310:Q310 K310:L310 F310:G310 F299:G299 K299:L299 P299:Q299 U299:V299 Z299:AA299 Z288:AA288 F288:G288 F243:G243 K243:L243 P243:Q243 U243:V243 Z243:AA243 Z254:AA254 U254:V254 K254:L254 F254:G254 F265:G265 F189:G189 K189:L189 P189:Q189 U189:V189 Z189:AA189 Z199:AA199 U199:V199 K199:L199 F199:G199 F209:G209 F145:G145 K145:L145 P145:Q145 U145:V145 Z145:AA145 Z156:AA156 U156:V156 P156:Q156 K156:L156 F156:G156 F167:G167 K167:L167 P167:Q167 U167:V167 Z167:AA167 K178:L178 F178:G178 F91:G91 K91:L91 P91:Q91 U91:V91 Z91:AA91 Z101:AA101 U101:V101 P101:Q101 K101:L101 F101:G101 F111:G111 K111:L111 P111:Q111 U111:V111 Z111:AA111 Z121:AA121 U121:V121 P121:Q121 K121:L121 F121:G121 F47:G47 K47:L47 P47:Q47 U47:V47 Z47:AA47 Z57:AA57 U57:V57 P57:Q57 K57:L57 F57:G57 U469:V469 F536:G536 K536:L536 Z536:AA536 U536:V536 P536:Q536 K131:L131 F131:G131 P178:Q178 K288:L288 P288:Q288 U288:V288 N22:O34">
    <cfRule type="cellIs" dxfId="164" priority="128" operator="notEqual">
      <formula>0</formula>
    </cfRule>
  </conditionalFormatting>
  <conditionalFormatting sqref="Y557:AB558 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F388:G388 K388:L388 P388:Q388 F145:G145 K145:L145 P145:Q145 U145:V145 Z145:AA145 Z156:AA156 U156:V156 P156:Q156 K156:L156 F156:G156 F167:G167 K167:L167 P167:Q167 U167:V167 Z167:AA167 K178:L178 F178:G178 F189:G189 K189:L189 P189:Q189 U189:V189 Z189:AA189 Z199:AA199 U199:V199 K199:L199 F199:G199 F209:G209 P332:Q332 F47:G47 K47:L47 P47:Q47 U47:V47 Z47:AA47 Z57:AA57 U57:V57 P57:Q57 K57:L57 F57:G57 F91:G91 K91:L91 P91:Q91 U91:V91 Z91:AA91 Z101:AA101 U101:V101 P101:Q101 K101:L101 F101:G101 F111:G111 K111:L111 P111:Q111 U111:V111 Z111:AA111 Z121:AA121 U121:V121 P121:Q121 K121:L121 F121:G121 Z243:AA243 Z254:AA254 U254:V254 U243:V243 P243:Q243 K254:L254 K243:L243 F243:G243 F254:G254 F265:G265 F288:G288 Z288:AA288 Z299:AA299 U299:V299 P299:Q299 K299:L299 F299:G299 F310:G310 K310:L310 P310:Q310 U310:V310 P321:Q321 K321:L321 F321:G321 F332:G332 K332:L332 U343:V343 P343:Q343 K343:L343 F343:G343 F354:G354 P354:Q354 U354:V354 U365:V365 P365:Q365 K365:L365 F365:G365 F536:G536 K536:L536 Z536:AA536 U536:V536 P536:Q536 Y544:AB554 K131:L131 F131:G131 P178:Q178 K288:L288 P288:Q288 U288:V288 N22:O34">
    <cfRule type="cellIs" dxfId="163" priority="120" operator="notEqual">
      <formula>0</formula>
    </cfRule>
  </conditionalFormatting>
  <conditionalFormatting sqref="Y556:AB556">
    <cfRule type="cellIs" dxfId="162" priority="113" operator="notEqual">
      <formula>0</formula>
    </cfRule>
  </conditionalFormatting>
  <conditionalFormatting sqref="Z343:AA343">
    <cfRule type="cellIs" dxfId="161" priority="110" operator="notEqual">
      <formula>0</formula>
    </cfRule>
  </conditionalFormatting>
  <conditionalFormatting sqref="Z343:AA343">
    <cfRule type="cellIs" dxfId="160" priority="109" operator="notEqual">
      <formula>0</formula>
    </cfRule>
  </conditionalFormatting>
  <conditionalFormatting sqref="Z388:AA388">
    <cfRule type="cellIs" dxfId="159" priority="108" operator="notEqual">
      <formula>0</formula>
    </cfRule>
  </conditionalFormatting>
  <conditionalFormatting sqref="Z388:AA388">
    <cfRule type="cellIs" dxfId="158" priority="107" operator="notEqual">
      <formula>0</formula>
    </cfRule>
  </conditionalFormatting>
  <conditionalFormatting sqref="U388:V388">
    <cfRule type="cellIs" dxfId="157" priority="106" operator="notEqual">
      <formula>0</formula>
    </cfRule>
  </conditionalFormatting>
  <conditionalFormatting sqref="U388:V388">
    <cfRule type="cellIs" dxfId="156" priority="105" operator="notEqual">
      <formula>0</formula>
    </cfRule>
  </conditionalFormatting>
  <conditionalFormatting sqref="Z491:AA491 K480:L480 F480:G480 U491:V491">
    <cfRule type="cellIs" dxfId="155" priority="104" operator="notEqual">
      <formula>0</formula>
    </cfRule>
  </conditionalFormatting>
  <conditionalFormatting sqref="Z491:AA491 K480:L480 F480:G480">
    <cfRule type="cellIs" dxfId="154" priority="103" operator="notEqual">
      <formula>0</formula>
    </cfRule>
  </conditionalFormatting>
  <conditionalFormatting sqref="F469:G469">
    <cfRule type="cellIs" dxfId="153" priority="102" operator="notEqual">
      <formula>0</formula>
    </cfRule>
  </conditionalFormatting>
  <conditionalFormatting sqref="F469:G469">
    <cfRule type="cellIs" dxfId="152" priority="101" operator="notEqual">
      <formula>0</formula>
    </cfRule>
  </conditionalFormatting>
  <conditionalFormatting sqref="K469:L469">
    <cfRule type="cellIs" dxfId="151" priority="100" operator="notEqual">
      <formula>0</formula>
    </cfRule>
  </conditionalFormatting>
  <conditionalFormatting sqref="K469:L469">
    <cfRule type="cellIs" dxfId="150" priority="99" operator="notEqual">
      <formula>0</formula>
    </cfRule>
  </conditionalFormatting>
  <conditionalFormatting sqref="U458:V458">
    <cfRule type="cellIs" dxfId="149" priority="98" operator="notEqual">
      <formula>0</formula>
    </cfRule>
  </conditionalFormatting>
  <conditionalFormatting sqref="U458:V458">
    <cfRule type="cellIs" dxfId="148" priority="97" operator="notEqual">
      <formula>0</formula>
    </cfRule>
  </conditionalFormatting>
  <conditionalFormatting sqref="U400:V400">
    <cfRule type="cellIs" dxfId="147" priority="96" operator="notEqual">
      <formula>0</formula>
    </cfRule>
  </conditionalFormatting>
  <conditionalFormatting sqref="U400:V400">
    <cfRule type="cellIs" dxfId="146" priority="95" operator="notEqual">
      <formula>0</formula>
    </cfRule>
  </conditionalFormatting>
  <conditionalFormatting sqref="U411:V411">
    <cfRule type="cellIs" dxfId="145" priority="94" operator="notEqual">
      <formula>0</formula>
    </cfRule>
  </conditionalFormatting>
  <conditionalFormatting sqref="U411:V411">
    <cfRule type="cellIs" dxfId="144" priority="93" operator="notEqual">
      <formula>0</formula>
    </cfRule>
  </conditionalFormatting>
  <conditionalFormatting sqref="Z354:AA354">
    <cfRule type="cellIs" dxfId="143" priority="87" operator="notEqual">
      <formula>0</formula>
    </cfRule>
  </conditionalFormatting>
  <conditionalFormatting sqref="F219:G219 K219:L219 P219:Q219 U219:V219 Z219:AA219">
    <cfRule type="cellIs" dxfId="142" priority="85" operator="notEqual">
      <formula>0</formula>
    </cfRule>
  </conditionalFormatting>
  <conditionalFormatting sqref="Z365:AA365">
    <cfRule type="cellIs" dxfId="141" priority="92" operator="notEqual">
      <formula>0</formula>
    </cfRule>
  </conditionalFormatting>
  <conditionalFormatting sqref="Z365:AA365">
    <cfRule type="cellIs" dxfId="140" priority="91" operator="notEqual">
      <formula>0</formula>
    </cfRule>
  </conditionalFormatting>
  <conditionalFormatting sqref="K354:L354">
    <cfRule type="cellIs" dxfId="139" priority="90" operator="notEqual">
      <formula>0</formula>
    </cfRule>
  </conditionalFormatting>
  <conditionalFormatting sqref="K354:L354">
    <cfRule type="cellIs" dxfId="138" priority="89" operator="notEqual">
      <formula>0</formula>
    </cfRule>
  </conditionalFormatting>
  <conditionalFormatting sqref="Z354:AA354">
    <cfRule type="cellIs" dxfId="137" priority="88" operator="notEqual">
      <formula>0</formula>
    </cfRule>
  </conditionalFormatting>
  <conditionalFormatting sqref="F219:G219 K219:L219 P219:Q219 U219:V219 Z219:AA219">
    <cfRule type="cellIs" dxfId="136" priority="86" operator="notEqual">
      <formula>0</formula>
    </cfRule>
  </conditionalFormatting>
  <conditionalFormatting sqref="F276:G276 K276:L276 P276:Q276">
    <cfRule type="cellIs" dxfId="135" priority="84" operator="notEqual">
      <formula>0</formula>
    </cfRule>
  </conditionalFormatting>
  <conditionalFormatting sqref="F276:G276 K276:L276 P276:Q276">
    <cfRule type="cellIs" dxfId="134" priority="83" operator="notEqual">
      <formula>0</formula>
    </cfRule>
  </conditionalFormatting>
  <conditionalFormatting sqref="Z209:AA209 U209:V209">
    <cfRule type="cellIs" dxfId="133" priority="82" operator="notEqual">
      <formula>0</formula>
    </cfRule>
  </conditionalFormatting>
  <conditionalFormatting sqref="Z209:AA209 U209:V209">
    <cfRule type="cellIs" dxfId="132" priority="81" operator="notEqual">
      <formula>0</formula>
    </cfRule>
  </conditionalFormatting>
  <conditionalFormatting sqref="P209:Q209">
    <cfRule type="cellIs" dxfId="131" priority="80" operator="notEqual">
      <formula>0</formula>
    </cfRule>
  </conditionalFormatting>
  <conditionalFormatting sqref="P209:Q209">
    <cfRule type="cellIs" dxfId="130" priority="79" operator="notEqual">
      <formula>0</formula>
    </cfRule>
  </conditionalFormatting>
  <conditionalFormatting sqref="K209:L209">
    <cfRule type="cellIs" dxfId="129" priority="78" operator="notEqual">
      <formula>0</formula>
    </cfRule>
  </conditionalFormatting>
  <conditionalFormatting sqref="K209:L209">
    <cfRule type="cellIs" dxfId="128" priority="77" operator="notEqual">
      <formula>0</formula>
    </cfRule>
  </conditionalFormatting>
  <conditionalFormatting sqref="P199:Q199">
    <cfRule type="cellIs" dxfId="127" priority="76" operator="notEqual">
      <formula>0</formula>
    </cfRule>
  </conditionalFormatting>
  <conditionalFormatting sqref="P199:Q199">
    <cfRule type="cellIs" dxfId="126" priority="75" operator="notEqual">
      <formula>0</formula>
    </cfRule>
  </conditionalFormatting>
  <conditionalFormatting sqref="Z265:AA265 U265:V265">
    <cfRule type="cellIs" dxfId="125" priority="74" operator="notEqual">
      <formula>0</formula>
    </cfRule>
  </conditionalFormatting>
  <conditionalFormatting sqref="Z265:AA265 U265:V265">
    <cfRule type="cellIs" dxfId="124" priority="73" operator="notEqual">
      <formula>0</formula>
    </cfRule>
  </conditionalFormatting>
  <conditionalFormatting sqref="P265:Q265">
    <cfRule type="cellIs" dxfId="123" priority="72" operator="notEqual">
      <formula>0</formula>
    </cfRule>
  </conditionalFormatting>
  <conditionalFormatting sqref="P265:Q265">
    <cfRule type="cellIs" dxfId="122" priority="71" operator="notEqual">
      <formula>0</formula>
    </cfRule>
  </conditionalFormatting>
  <conditionalFormatting sqref="K265:L265">
    <cfRule type="cellIs" dxfId="121" priority="70" operator="notEqual">
      <formula>0</formula>
    </cfRule>
  </conditionalFormatting>
  <conditionalFormatting sqref="K265:L265">
    <cfRule type="cellIs" dxfId="120" priority="69" operator="notEqual">
      <formula>0</formula>
    </cfRule>
  </conditionalFormatting>
  <conditionalFormatting sqref="P254:Q254">
    <cfRule type="cellIs" dxfId="119" priority="68" operator="notEqual">
      <formula>0</formula>
    </cfRule>
  </conditionalFormatting>
  <conditionalFormatting sqref="P254:Q254">
    <cfRule type="cellIs" dxfId="118" priority="67" operator="notEqual">
      <formula>0</formula>
    </cfRule>
  </conditionalFormatting>
  <conditionalFormatting sqref="F368:G376 K368:L376 U368:V376 P368:Q376">
    <cfRule type="cellIs" dxfId="117" priority="66" operator="notEqual">
      <formula>0</formula>
    </cfRule>
  </conditionalFormatting>
  <conditionalFormatting sqref="F368:G376 K368:L376 U368:V376 P368:Q376">
    <cfRule type="cellIs" dxfId="116" priority="65" operator="notEqual">
      <formula>0</formula>
    </cfRule>
  </conditionalFormatting>
  <conditionalFormatting sqref="Z458:AA458">
    <cfRule type="cellIs" dxfId="115" priority="58" operator="notEqual">
      <formula>0</formula>
    </cfRule>
  </conditionalFormatting>
  <conditionalFormatting sqref="Z458:AA458">
    <cfRule type="cellIs" dxfId="114" priority="57" operator="notEqual">
      <formula>0</formula>
    </cfRule>
  </conditionalFormatting>
  <conditionalFormatting sqref="U469:V469">
    <cfRule type="cellIs" dxfId="113" priority="56" operator="notEqual">
      <formula>0</formula>
    </cfRule>
  </conditionalFormatting>
  <conditionalFormatting sqref="U491:V491">
    <cfRule type="cellIs" dxfId="112" priority="55" operator="notEqual">
      <formula>0</formula>
    </cfRule>
  </conditionalFormatting>
  <conditionalFormatting sqref="H551">
    <cfRule type="expression" dxfId="111" priority="862" stopIfTrue="1">
      <formula>$H$550=$D$563</formula>
    </cfRule>
  </conditionalFormatting>
  <conditionalFormatting sqref="N35:O35">
    <cfRule type="cellIs" dxfId="110" priority="54" operator="notEqual">
      <formula>0</formula>
    </cfRule>
  </conditionalFormatting>
  <conditionalFormatting sqref="N35:O35">
    <cfRule type="cellIs" dxfId="109" priority="53" operator="notEqual">
      <formula>0</formula>
    </cfRule>
  </conditionalFormatting>
  <conditionalFormatting sqref="F67:G67">
    <cfRule type="cellIs" dxfId="108" priority="52" operator="notEqual">
      <formula>0</formula>
    </cfRule>
  </conditionalFormatting>
  <conditionalFormatting sqref="F67:G67">
    <cfRule type="cellIs" dxfId="107" priority="51" operator="notEqual">
      <formula>0</formula>
    </cfRule>
  </conditionalFormatting>
  <conditionalFormatting sqref="P131:Q131">
    <cfRule type="cellIs" dxfId="106" priority="50" operator="notEqual">
      <formula>0</formula>
    </cfRule>
  </conditionalFormatting>
  <conditionalFormatting sqref="P131:Q131">
    <cfRule type="cellIs" dxfId="105" priority="49" operator="notEqual">
      <formula>0</formula>
    </cfRule>
  </conditionalFormatting>
  <conditionalFormatting sqref="U178:V178">
    <cfRule type="cellIs" dxfId="104" priority="48" operator="notEqual">
      <formula>0</formula>
    </cfRule>
  </conditionalFormatting>
  <conditionalFormatting sqref="U178:V178">
    <cfRule type="cellIs" dxfId="103" priority="47" operator="notEqual">
      <formula>0</formula>
    </cfRule>
  </conditionalFormatting>
  <conditionalFormatting sqref="F229:G229">
    <cfRule type="cellIs" dxfId="102" priority="46" operator="notEqual">
      <formula>0</formula>
    </cfRule>
  </conditionalFormatting>
  <conditionalFormatting sqref="F229:G229">
    <cfRule type="cellIs" dxfId="101" priority="45" operator="notEqual">
      <formula>0</formula>
    </cfRule>
  </conditionalFormatting>
  <conditionalFormatting sqref="U276:V276">
    <cfRule type="cellIs" dxfId="100" priority="44" operator="notEqual">
      <formula>0</formula>
    </cfRule>
  </conditionalFormatting>
  <conditionalFormatting sqref="U276:V276">
    <cfRule type="cellIs" dxfId="99" priority="43" operator="notEqual">
      <formula>0</formula>
    </cfRule>
  </conditionalFormatting>
  <conditionalFormatting sqref="U321:V321">
    <cfRule type="cellIs" dxfId="98" priority="42" operator="notEqual">
      <formula>0</formula>
    </cfRule>
  </conditionalFormatting>
  <conditionalFormatting sqref="U321:V321">
    <cfRule type="cellIs" dxfId="97" priority="41" operator="notEqual">
      <formula>0</formula>
    </cfRule>
  </conditionalFormatting>
  <conditionalFormatting sqref="Z321:AA321">
    <cfRule type="cellIs" dxfId="96" priority="40" operator="notEqual">
      <formula>0</formula>
    </cfRule>
  </conditionalFormatting>
  <conditionalFormatting sqref="Z321:AA321">
    <cfRule type="cellIs" dxfId="95" priority="39" operator="notEqual">
      <formula>0</formula>
    </cfRule>
  </conditionalFormatting>
  <conditionalFormatting sqref="U332:V332">
    <cfRule type="cellIs" dxfId="94" priority="38" operator="notEqual">
      <formula>0</formula>
    </cfRule>
  </conditionalFormatting>
  <conditionalFormatting sqref="U332:V332">
    <cfRule type="cellIs" dxfId="93" priority="37" operator="notEqual">
      <formula>0</formula>
    </cfRule>
  </conditionalFormatting>
  <conditionalFormatting sqref="Z400:AA400">
    <cfRule type="cellIs" dxfId="92" priority="36" operator="notEqual">
      <formula>0</formula>
    </cfRule>
  </conditionalFormatting>
  <conditionalFormatting sqref="Z400:AA400">
    <cfRule type="cellIs" dxfId="91" priority="35" operator="notEqual">
      <formula>0</formula>
    </cfRule>
  </conditionalFormatting>
  <conditionalFormatting sqref="P445:Q445">
    <cfRule type="cellIs" dxfId="90" priority="34" operator="notEqual">
      <formula>0</formula>
    </cfRule>
  </conditionalFormatting>
  <conditionalFormatting sqref="P445:Q445">
    <cfRule type="cellIs" dxfId="89" priority="33" operator="notEqual">
      <formula>0</formula>
    </cfRule>
  </conditionalFormatting>
  <conditionalFormatting sqref="U445:V445">
    <cfRule type="cellIs" dxfId="88" priority="32" operator="notEqual">
      <formula>0</formula>
    </cfRule>
  </conditionalFormatting>
  <conditionalFormatting sqref="U445:V445">
    <cfRule type="cellIs" dxfId="87" priority="31" operator="notEqual">
      <formula>0</formula>
    </cfRule>
  </conditionalFormatting>
  <conditionalFormatting sqref="K491:L491 F491:G491">
    <cfRule type="cellIs" dxfId="86" priority="30" operator="notEqual">
      <formula>0</formula>
    </cfRule>
  </conditionalFormatting>
  <conditionalFormatting sqref="K491:L491 F491:G491">
    <cfRule type="cellIs" dxfId="85" priority="29" operator="notEqual">
      <formula>0</formula>
    </cfRule>
  </conditionalFormatting>
  <conditionalFormatting sqref="P480:Q480">
    <cfRule type="cellIs" dxfId="84" priority="28" operator="notEqual">
      <formula>0</formula>
    </cfRule>
  </conditionalFormatting>
  <conditionalFormatting sqref="P480:Q480">
    <cfRule type="cellIs" dxfId="83" priority="27" operator="notEqual">
      <formula>0</formula>
    </cfRule>
  </conditionalFormatting>
  <conditionalFormatting sqref="Z480:AA480 U480:V480">
    <cfRule type="cellIs" dxfId="82" priority="26" operator="notEqual">
      <formula>0</formula>
    </cfRule>
  </conditionalFormatting>
  <conditionalFormatting sqref="Z480:AA480 U480:V480">
    <cfRule type="cellIs" dxfId="81" priority="25" operator="notEqual">
      <formula>0</formula>
    </cfRule>
  </conditionalFormatting>
  <conditionalFormatting sqref="P491:Q491">
    <cfRule type="cellIs" dxfId="80" priority="24" operator="notEqual">
      <formula>0</formula>
    </cfRule>
  </conditionalFormatting>
  <conditionalFormatting sqref="P491:Q491">
    <cfRule type="cellIs" dxfId="79" priority="23" operator="notEqual">
      <formula>0</formula>
    </cfRule>
  </conditionalFormatting>
  <conditionalFormatting sqref="F423:G423">
    <cfRule type="cellIs" dxfId="78" priority="20" operator="notEqual">
      <formula>0</formula>
    </cfRule>
  </conditionalFormatting>
  <conditionalFormatting sqref="F423:G423">
    <cfRule type="cellIs" dxfId="77" priority="19" operator="notEqual">
      <formula>0</formula>
    </cfRule>
  </conditionalFormatting>
  <conditionalFormatting sqref="K423:L423">
    <cfRule type="cellIs" dxfId="76" priority="18" operator="notEqual">
      <formula>0</formula>
    </cfRule>
  </conditionalFormatting>
  <conditionalFormatting sqref="K423:L423">
    <cfRule type="cellIs" dxfId="75" priority="17" operator="notEqual">
      <formula>0</formula>
    </cfRule>
  </conditionalFormatting>
  <conditionalFormatting sqref="P423:Q423">
    <cfRule type="cellIs" dxfId="74" priority="16" operator="notEqual">
      <formula>0</formula>
    </cfRule>
  </conditionalFormatting>
  <conditionalFormatting sqref="P423:Q423">
    <cfRule type="cellIs" dxfId="73" priority="15" operator="notEqual">
      <formula>0</formula>
    </cfRule>
  </conditionalFormatting>
  <conditionalFormatting sqref="U423:V423">
    <cfRule type="cellIs" dxfId="72" priority="14" operator="notEqual">
      <formula>0</formula>
    </cfRule>
  </conditionalFormatting>
  <conditionalFormatting sqref="U423:V423">
    <cfRule type="cellIs" dxfId="71" priority="13" operator="notEqual">
      <formula>0</formula>
    </cfRule>
  </conditionalFormatting>
  <conditionalFormatting sqref="F79:G79">
    <cfRule type="cellIs" dxfId="70" priority="12" operator="notEqual">
      <formula>0</formula>
    </cfRule>
  </conditionalFormatting>
  <conditionalFormatting sqref="F79:G79">
    <cfRule type="cellIs" dxfId="69" priority="11" operator="notEqual">
      <formula>0</formula>
    </cfRule>
  </conditionalFormatting>
  <conditionalFormatting sqref="K79:L79">
    <cfRule type="cellIs" dxfId="68" priority="10" operator="notEqual">
      <formula>0</formula>
    </cfRule>
  </conditionalFormatting>
  <conditionalFormatting sqref="K79:L79">
    <cfRule type="cellIs" dxfId="67" priority="9" operator="notEqual">
      <formula>0</formula>
    </cfRule>
  </conditionalFormatting>
  <conditionalFormatting sqref="P79:Q79">
    <cfRule type="cellIs" dxfId="66" priority="8" operator="notEqual">
      <formula>0</formula>
    </cfRule>
  </conditionalFormatting>
  <conditionalFormatting sqref="P79:Q79">
    <cfRule type="cellIs" dxfId="65" priority="7" operator="notEqual">
      <formula>0</formula>
    </cfRule>
  </conditionalFormatting>
  <conditionalFormatting sqref="U79:V79">
    <cfRule type="cellIs" dxfId="64" priority="6" operator="notEqual">
      <formula>0</formula>
    </cfRule>
  </conditionalFormatting>
  <conditionalFormatting sqref="U79:V79">
    <cfRule type="cellIs" dxfId="63" priority="5" operator="notEqual">
      <formula>0</formula>
    </cfRule>
  </conditionalFormatting>
  <conditionalFormatting sqref="P458:Q458">
    <cfRule type="cellIs" dxfId="62" priority="4" operator="notEqual">
      <formula>0</formula>
    </cfRule>
  </conditionalFormatting>
  <conditionalFormatting sqref="P458:Q458">
    <cfRule type="cellIs" dxfId="61" priority="3" operator="notEqual">
      <formula>0</formula>
    </cfRule>
  </conditionalFormatting>
  <conditionalFormatting sqref="Z534:AA534">
    <cfRule type="cellIs" dxfId="60" priority="2" operator="notEqual">
      <formula>0</formula>
    </cfRule>
  </conditionalFormatting>
  <conditionalFormatting sqref="Z534:AA534">
    <cfRule type="cellIs" dxfId="59" priority="1" operator="notEqual">
      <formula>0</formula>
    </cfRule>
  </conditionalFormatting>
  <dataValidations count="5">
    <dataValidation type="list" allowBlank="1" showInputMessage="1" showErrorMessage="1" sqref="H550:R550">
      <formula1>$D$561:$D$563</formula1>
    </dataValidation>
    <dataValidation type="list" allowBlank="1" showInputMessage="1" showErrorMessage="1" sqref="H552:R552">
      <formula1>$D$565:$D$566</formula1>
    </dataValidation>
    <dataValidation type="list" operator="greaterThan" allowBlank="1" showInputMessage="1" showErrorMessage="1" sqref="N26:O26">
      <formula1>$B$573:$B$581</formula1>
    </dataValidation>
    <dataValidation type="list" allowBlank="1" showInputMessage="1" showErrorMessage="1" sqref="N24:O24 N34:O34 N31:O31">
      <formula1>$B$573:$B$581</formula1>
    </dataValidation>
    <dataValidation type="list" allowBlank="1" showInputMessage="1" showErrorMessage="1" sqref="U445:V445 F423:G423 K423:L423 P423:Q423 U423:V423">
      <formula1>$AE$431:$AE$440</formula1>
    </dataValidation>
  </dataValidations>
  <hyperlinks>
    <hyperlink ref="N513:Q513" r:id="rId1" display="Fabrication &amp; design training at Flexpipe's facility.  Click here for dates available"/>
    <hyperlink ref="S513:V513" r:id="rId2" display="Fabrication &amp; design training at Flexpipe's facility.  Click here for dates available"/>
    <hyperlink ref="X514:AA514" r:id="rId3" display="See website"/>
    <hyperlink ref="S514:V514" r:id="rId4" display="See website"/>
    <hyperlink ref="X504:AA504" r:id="rId5" display="See website"/>
    <hyperlink ref="S504:V504" r:id="rId6" display="See website"/>
    <hyperlink ref="N504:Q504" r:id="rId7" display="See website"/>
    <hyperlink ref="I504:L504" r:id="rId8" display="See website"/>
    <hyperlink ref="D504:G504" r:id="rId9" display="See websit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10"/>
  <headerFooter alignWithMargins="0"/>
  <rowBreaks count="6" manualBreakCount="6">
    <brk id="81" max="27" man="1"/>
    <brk id="179" max="27" man="1"/>
    <brk id="277" max="27" man="1"/>
    <brk id="377" max="27" man="1"/>
    <brk id="447" max="27" man="1"/>
    <brk id="535" max="27" man="1"/>
  </rowBreaks>
  <colBreaks count="1" manualBreakCount="1">
    <brk id="28" max="1048575" man="1"/>
  </colBreaks>
  <drawing r:id="rId11"/>
  <legacy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4"/>
  <sheetViews>
    <sheetView tabSelected="1" topLeftCell="A31" zoomScaleNormal="100" workbookViewId="0">
      <selection activeCell="D34" sqref="D34:E34"/>
    </sheetView>
  </sheetViews>
  <sheetFormatPr baseColWidth="10" defaultColWidth="9.28515625" defaultRowHeight="12.75" x14ac:dyDescent="0.2"/>
  <cols>
    <col min="1" max="1" width="1.7109375" style="503" customWidth="1"/>
    <col min="2" max="2" width="10.42578125" style="503" customWidth="1"/>
    <col min="3" max="3" width="16.42578125" style="503" customWidth="1"/>
    <col min="4" max="4" width="25.28515625" style="503" customWidth="1"/>
    <col min="5" max="5" width="23.28515625" style="503" customWidth="1"/>
    <col min="6" max="6" width="15.28515625" style="503" customWidth="1"/>
    <col min="7" max="7" width="14.5703125" style="503" customWidth="1"/>
    <col min="8" max="8" width="9.28515625" style="502" customWidth="1"/>
    <col min="9" max="9" width="16.7109375" style="502" customWidth="1"/>
    <col min="10" max="10" width="19.5703125" style="502" customWidth="1"/>
    <col min="11" max="11" width="11.42578125" style="502" customWidth="1"/>
    <col min="12" max="12" width="22.5703125" style="502" customWidth="1"/>
    <col min="13" max="13" width="12.5703125" style="502" customWidth="1"/>
    <col min="14" max="14" width="10" style="502" customWidth="1"/>
    <col min="15" max="15" width="9.28515625" style="502" customWidth="1"/>
    <col min="16" max="16" width="7.7109375" style="502" customWidth="1"/>
    <col min="17" max="17" width="8.5703125" style="502" customWidth="1"/>
    <col min="18" max="18" width="20.5703125" style="502" customWidth="1"/>
    <col min="19" max="19" width="10.5703125" style="502" customWidth="1"/>
    <col min="20" max="20" width="8.5703125" style="502" customWidth="1"/>
    <col min="21" max="21" width="10" style="502" customWidth="1"/>
    <col min="22" max="22" width="13.42578125" style="502" customWidth="1"/>
    <col min="23" max="23" width="14" style="502" customWidth="1"/>
    <col min="24" max="24" width="6.5703125" style="502" customWidth="1"/>
    <col min="25" max="27" width="12.5703125" style="502" customWidth="1"/>
    <col min="28" max="28" width="71.5703125" style="502" customWidth="1"/>
    <col min="29" max="29" width="50.42578125" style="503" customWidth="1"/>
    <col min="30" max="53" width="9.28515625" style="503" customWidth="1"/>
    <col min="54" max="16384" width="9.28515625" style="503"/>
  </cols>
  <sheetData>
    <row r="1" spans="1:13" ht="13.15" customHeight="1" x14ac:dyDescent="0.35">
      <c r="A1" s="500"/>
      <c r="B1" s="501"/>
      <c r="C1" s="500"/>
      <c r="D1" s="500"/>
      <c r="E1" s="1245" t="s">
        <v>30</v>
      </c>
      <c r="F1" s="1246"/>
      <c r="G1" s="1246"/>
    </row>
    <row r="2" spans="1:13" ht="13.15" customHeight="1" x14ac:dyDescent="0.35">
      <c r="A2" s="500"/>
      <c r="B2" s="501"/>
      <c r="C2" s="500"/>
      <c r="D2" s="500"/>
      <c r="E2" s="1246"/>
      <c r="F2" s="1246"/>
      <c r="G2" s="1246"/>
      <c r="I2" s="504"/>
    </row>
    <row r="3" spans="1:13" ht="23.65" customHeight="1" x14ac:dyDescent="0.2">
      <c r="A3" s="500"/>
      <c r="B3" s="505" t="s">
        <v>428</v>
      </c>
      <c r="C3" s="506"/>
      <c r="D3" s="1"/>
      <c r="E3" s="500"/>
      <c r="F3" s="507" t="s">
        <v>31</v>
      </c>
      <c r="G3" s="610" t="s">
        <v>957</v>
      </c>
    </row>
    <row r="4" spans="1:13" ht="12.4" customHeight="1" x14ac:dyDescent="0.2">
      <c r="A4" s="500"/>
      <c r="B4" s="3" t="str">
        <f>VLOOKUP(B3,B84:E87,2)</f>
        <v>753 Winer Industrial Way, Suite A</v>
      </c>
      <c r="C4" s="1"/>
      <c r="D4" s="1"/>
      <c r="E4" s="500"/>
      <c r="F4" s="508"/>
      <c r="G4" s="509"/>
    </row>
    <row r="5" spans="1:13" ht="12.4" customHeight="1" x14ac:dyDescent="0.2">
      <c r="A5" s="500"/>
      <c r="B5" s="3" t="str">
        <f>VLOOKUP(B3,B84:E87,3)</f>
        <v>Lawrenceville, GA, 30046</v>
      </c>
      <c r="C5" s="1"/>
      <c r="D5" s="506"/>
      <c r="E5" s="500"/>
      <c r="F5" s="510" t="s">
        <v>32</v>
      </c>
      <c r="G5" s="511">
        <f ca="1">TODAY()</f>
        <v>44152</v>
      </c>
    </row>
    <row r="6" spans="1:13" ht="12.4" customHeight="1" x14ac:dyDescent="0.2">
      <c r="A6" s="500"/>
      <c r="B6" s="3" t="str">
        <f>VLOOKUP(B3,B84:E87,4)</f>
        <v>Tel: 1-855-406-0253 Fax: 1-866-516-1183</v>
      </c>
      <c r="C6" s="1"/>
      <c r="D6" s="1"/>
      <c r="E6" s="500"/>
      <c r="F6" s="510" t="str">
        <f>VLOOKUP(E1,B91:W93,4)</f>
        <v>Valid until:</v>
      </c>
      <c r="G6" s="511">
        <f ca="1">G5+45</f>
        <v>44197</v>
      </c>
      <c r="I6" s="512"/>
    </row>
    <row r="7" spans="1:13" ht="8.65" customHeight="1" x14ac:dyDescent="0.2">
      <c r="A7" s="500"/>
      <c r="B7" s="513"/>
      <c r="C7" s="500"/>
      <c r="D7" s="500"/>
      <c r="E7" s="500"/>
      <c r="F7" s="500"/>
      <c r="G7" s="500"/>
    </row>
    <row r="8" spans="1:13" ht="12.4" customHeight="1" x14ac:dyDescent="0.2">
      <c r="A8" s="500"/>
      <c r="B8" s="514" t="str">
        <f>VLOOKUP(E1,B91:W93,2)</f>
        <v>Customer:</v>
      </c>
      <c r="C8" s="1247" t="s">
        <v>955</v>
      </c>
      <c r="D8" s="1247"/>
      <c r="E8" s="516" t="str">
        <f>VLOOKUP(E1,B91:W93,5)</f>
        <v>Salesperson:</v>
      </c>
      <c r="F8" s="500" t="s">
        <v>426</v>
      </c>
      <c r="G8" s="1"/>
      <c r="I8" s="56"/>
      <c r="J8" s="18"/>
      <c r="K8" s="18"/>
      <c r="L8" s="517"/>
      <c r="M8" s="18"/>
    </row>
    <row r="9" spans="1:13" ht="12.4" customHeight="1" x14ac:dyDescent="0.2">
      <c r="A9" s="500"/>
      <c r="B9" s="514" t="str">
        <f>VLOOKUP(E1,B91:W93,3)</f>
        <v>Company:</v>
      </c>
      <c r="C9" s="1248" t="s">
        <v>956</v>
      </c>
      <c r="D9" s="1248"/>
      <c r="E9" s="516" t="str">
        <f>VLOOKUP(E1,B91:W93,6)</f>
        <v>Phone:</v>
      </c>
      <c r="F9" s="500" t="str">
        <f>VLOOKUP(F8,B68:F82,2,FALSE)</f>
        <v>1-855-406-0253</v>
      </c>
      <c r="G9" s="518"/>
      <c r="I9" s="56"/>
      <c r="J9" s="18"/>
      <c r="K9" s="18"/>
      <c r="L9" s="517"/>
      <c r="M9" s="18"/>
    </row>
    <row r="10" spans="1:13" ht="12.4" customHeight="1" x14ac:dyDescent="0.2">
      <c r="A10" s="500"/>
      <c r="B10" s="514"/>
      <c r="C10" s="604"/>
      <c r="D10" s="604"/>
      <c r="E10" s="516" t="s">
        <v>497</v>
      </c>
      <c r="F10" s="515">
        <f>VLOOKUP(F8,B68:F82,3,FALSE)</f>
        <v>313</v>
      </c>
      <c r="G10" s="518"/>
      <c r="I10" s="56"/>
      <c r="J10" s="18"/>
      <c r="K10" s="18"/>
      <c r="L10" s="517"/>
      <c r="M10" s="18"/>
    </row>
    <row r="11" spans="1:13" ht="12.4" customHeight="1" x14ac:dyDescent="0.2">
      <c r="A11" s="500"/>
      <c r="B11" s="519"/>
      <c r="C11" s="514"/>
      <c r="D11" s="514"/>
      <c r="E11" s="516" t="str">
        <f>VLOOKUP(E1,B91:W93,7)</f>
        <v>Mobile:</v>
      </c>
      <c r="F11" s="500" t="str">
        <f>VLOOKUP(F8,B68:F82,4,FALSE)</f>
        <v>--</v>
      </c>
      <c r="G11" s="1"/>
      <c r="I11" s="56"/>
      <c r="J11" s="18"/>
      <c r="K11" s="18"/>
      <c r="L11" s="517"/>
      <c r="M11" s="18"/>
    </row>
    <row r="12" spans="1:13" ht="12.4" customHeight="1" x14ac:dyDescent="0.2">
      <c r="A12" s="500"/>
      <c r="B12" s="520"/>
      <c r="C12" s="514"/>
      <c r="D12" s="514"/>
      <c r="E12" s="516" t="str">
        <f>VLOOKUP(E1,B91:W93,8)</f>
        <v>Email:</v>
      </c>
      <c r="F12" s="500" t="str">
        <f>VLOOKUP(F8,B68:F82,5,FALSE)</f>
        <v>srodeck@flexpipeinc.com</v>
      </c>
      <c r="G12" s="521"/>
      <c r="I12" s="56"/>
      <c r="J12" s="18"/>
      <c r="K12" s="18"/>
      <c r="L12" s="517"/>
      <c r="M12" s="18"/>
    </row>
    <row r="13" spans="1:13" ht="12.4" customHeight="1" x14ac:dyDescent="0.2">
      <c r="A13" s="500"/>
      <c r="B13" s="514"/>
      <c r="C13" s="514"/>
      <c r="D13" s="514"/>
      <c r="E13" s="516" t="str">
        <f>VLOOKUP(E1,B91:W93,9)</f>
        <v>Website:</v>
      </c>
      <c r="F13" s="9" t="s">
        <v>40</v>
      </c>
      <c r="G13" s="522"/>
      <c r="I13" s="56"/>
      <c r="J13" s="18"/>
      <c r="K13" s="18"/>
      <c r="L13" s="517"/>
      <c r="M13" s="18"/>
    </row>
    <row r="14" spans="1:13" ht="4.1500000000000004" customHeight="1" x14ac:dyDescent="0.2">
      <c r="A14" s="500"/>
      <c r="B14" s="523"/>
      <c r="C14" s="4"/>
      <c r="D14" s="4"/>
      <c r="E14" s="4"/>
      <c r="F14" s="7"/>
      <c r="G14" s="500"/>
      <c r="I14" s="56"/>
      <c r="J14" s="56"/>
      <c r="K14" s="56"/>
      <c r="L14" s="524"/>
      <c r="M14" s="18"/>
    </row>
    <row r="15" spans="1:13" ht="12.75" customHeight="1" x14ac:dyDescent="0.2">
      <c r="A15" s="500"/>
      <c r="B15" s="1249" t="str">
        <f>VLOOKUP(E1,B91:W93,10)</f>
        <v>FREIGHT DETAILS</v>
      </c>
      <c r="C15" s="1250"/>
      <c r="D15" s="1251"/>
      <c r="E15" s="1252" t="str">
        <f>VLOOKUP(E1,B91:W93,11)</f>
        <v>LEAD TIME</v>
      </c>
      <c r="F15" s="1253"/>
      <c r="G15" s="525" t="str">
        <f>VLOOKUP(E1,B91:W93,12)</f>
        <v>TERMS</v>
      </c>
    </row>
    <row r="16" spans="1:13" x14ac:dyDescent="0.2">
      <c r="A16" s="500"/>
      <c r="B16" s="1240" t="s">
        <v>516</v>
      </c>
      <c r="C16" s="1241"/>
      <c r="D16" s="1242"/>
      <c r="E16" s="1243" t="s">
        <v>956</v>
      </c>
      <c r="F16" s="1244"/>
      <c r="G16" s="526" t="s">
        <v>88</v>
      </c>
      <c r="I16" s="512"/>
    </row>
    <row r="17" spans="1:30" ht="6" customHeight="1" x14ac:dyDescent="0.2">
      <c r="A17" s="500"/>
      <c r="B17" s="527"/>
      <c r="C17" s="527"/>
      <c r="D17" s="527"/>
      <c r="E17" s="528"/>
      <c r="F17" s="528"/>
      <c r="G17" s="529"/>
      <c r="I17" s="512"/>
    </row>
    <row r="18" spans="1:30" x14ac:dyDescent="0.2">
      <c r="A18" s="500"/>
      <c r="B18" s="557" t="str">
        <f>VLOOKUP(E1,B91:W93,13)</f>
        <v>QUANTITY</v>
      </c>
      <c r="C18" s="558" t="str">
        <f>VLOOKUP(E1,B91:W93,22)</f>
        <v>PART #</v>
      </c>
      <c r="D18" s="1254" t="str">
        <f>VLOOKUP(E1,B91:W93,14)</f>
        <v>DESCRIPTION</v>
      </c>
      <c r="E18" s="1255"/>
      <c r="F18" s="557" t="str">
        <f>VLOOKUP(E1,B91:W93,15)</f>
        <v>UNIT PRICE</v>
      </c>
      <c r="G18" s="557" t="s">
        <v>60</v>
      </c>
    </row>
    <row r="19" spans="1:30" ht="13.9" customHeight="1" x14ac:dyDescent="0.2">
      <c r="A19" s="500"/>
      <c r="B19" s="530"/>
      <c r="C19" s="1256"/>
      <c r="D19" s="1257"/>
      <c r="E19" s="1258"/>
      <c r="F19" s="530"/>
      <c r="G19" s="531"/>
      <c r="K19" s="532"/>
      <c r="L19" s="532"/>
    </row>
    <row r="20" spans="1:30" s="536" customFormat="1" ht="12.75" customHeight="1" x14ac:dyDescent="0.25">
      <c r="A20" s="533"/>
      <c r="B20" s="534">
        <f>IFERROR(INDEX(Resume!$C$3:$F$221,MATCH(ROW($B1),Resume!$N$3:$N$221,0),MATCH(Quotation!B$18,Resume!$C$2:$F$2,0)),"")</f>
        <v>32</v>
      </c>
      <c r="C20" s="10" t="str">
        <f>IFERROR(INDEX(Resume!$C$3:$F$221,MATCH(ROW($B1),Resume!$N$3:$N$221,0),MATCH(Quotation!C$18,Resume!$C$2:$F$2,0)),"")</f>
        <v>P-96-BL</v>
      </c>
      <c r="D20" s="1238" t="str">
        <f>IFERROR(INDEX(Resume!$C$3:$F$221,MATCH(ROW($B1),Resume!$N$3:$N$221,0),MATCH(Quotation!D$18,Resume!$C$2:$F$2,0)),"")</f>
        <v>Blue 8' steel pipe PE coated</v>
      </c>
      <c r="E20" s="1239"/>
      <c r="F20" s="618">
        <f>IFERROR(INDEX(Resume!$C$3:$F$221,MATCH(ROW($B1),Resume!$N$3:$N$221,0),MATCH(Quotation!F$18,Resume!$C$2:$F$2,0)),"")</f>
        <v>6.5</v>
      </c>
      <c r="G20" s="619">
        <f t="shared" ref="G20:G58" si="0">IFERROR(F20*B20,"")</f>
        <v>208</v>
      </c>
      <c r="H20" s="535"/>
      <c r="I20" s="502"/>
      <c r="J20" s="502"/>
      <c r="K20" s="532"/>
      <c r="L20" s="532"/>
      <c r="M20" s="535"/>
      <c r="N20" s="535"/>
      <c r="O20" s="535"/>
      <c r="P20" s="535"/>
      <c r="Q20" s="535"/>
      <c r="R20" s="535"/>
      <c r="S20" s="535"/>
      <c r="T20" s="535"/>
      <c r="U20" s="535"/>
      <c r="V20" s="535"/>
      <c r="W20" s="535"/>
      <c r="X20" s="535"/>
      <c r="Y20" s="535"/>
      <c r="Z20" s="535"/>
      <c r="AA20" s="535"/>
      <c r="AB20" s="535"/>
    </row>
    <row r="21" spans="1:30" x14ac:dyDescent="0.2">
      <c r="A21" s="500"/>
      <c r="B21" s="534">
        <f>IFERROR(INDEX(Resume!$C$3:$F$221,MATCH(ROW($B2),Resume!$N$3:$N$221,0),MATCH(Quotation!B$18,Resume!$C$2:$F$2,0)),"")</f>
        <v>80</v>
      </c>
      <c r="C21" s="10" t="str">
        <f>IFERROR(INDEX(Resume!$C$3:$F$221,MATCH(ROW($B2),Resume!$N$3:$N$221,0),MATCH(Quotation!C$18,Resume!$C$2:$F$2,0)),"")</f>
        <v>H-1</v>
      </c>
      <c r="D21" s="1238" t="str">
        <f>IFERROR(INDEX(Resume!$C$3:$F$221,MATCH(ROW($B2),Resume!$N$3:$N$221,0),MATCH(Quotation!D$18,Resume!$C$2:$F$2,0)),"")</f>
        <v>Standard tee joint steel black</v>
      </c>
      <c r="E21" s="1239"/>
      <c r="F21" s="618">
        <f>IFERROR(INDEX(Resume!$C$3:$F$221,MATCH(ROW($B2),Resume!$N$3:$N$221,0),MATCH(Quotation!F$18,Resume!$C$2:$F$2,0)),"")</f>
        <v>0.55000000000000004</v>
      </c>
      <c r="G21" s="619">
        <f t="shared" si="0"/>
        <v>44</v>
      </c>
      <c r="K21" s="532"/>
      <c r="L21" s="532"/>
    </row>
    <row r="22" spans="1:30" x14ac:dyDescent="0.2">
      <c r="A22" s="500"/>
      <c r="B22" s="534">
        <f>IFERROR(INDEX(Resume!$C$3:$F$221,MATCH(ROW($B3),Resume!$N$3:$N$221,0),MATCH(Quotation!B$18,Resume!$C$2:$F$2,0)),"")</f>
        <v>44</v>
      </c>
      <c r="C22" s="10" t="str">
        <f>IFERROR(INDEX(Resume!$C$3:$F$221,MATCH(ROW($B3),Resume!$N$3:$N$221,0),MATCH(Quotation!C$18,Resume!$C$2:$F$2,0)),"")</f>
        <v>H-2</v>
      </c>
      <c r="D22" s="1238" t="str">
        <f>IFERROR(INDEX(Resume!$C$3:$F$221,MATCH(ROW($B3),Resume!$N$3:$N$221,0),MATCH(Quotation!D$18,Resume!$C$2:$F$2,0)),"")</f>
        <v>Inner corner joint steel black</v>
      </c>
      <c r="E22" s="1239"/>
      <c r="F22" s="618">
        <f>IFERROR(INDEX(Resume!$C$3:$F$221,MATCH(ROW($B3),Resume!$N$3:$N$221,0),MATCH(Quotation!F$18,Resume!$C$2:$F$2,0)),"")</f>
        <v>0.92</v>
      </c>
      <c r="G22" s="619">
        <f t="shared" si="0"/>
        <v>40.480000000000004</v>
      </c>
      <c r="I22" s="512"/>
    </row>
    <row r="23" spans="1:30" x14ac:dyDescent="0.2">
      <c r="A23" s="500"/>
      <c r="B23" s="534">
        <f>IFERROR(INDEX(Resume!$C$3:$F$221,MATCH(ROW($B4),Resume!$N$3:$N$221,0),MATCH(Quotation!B$18,Resume!$C$2:$F$2,0)),"")</f>
        <v>40</v>
      </c>
      <c r="C23" s="10" t="str">
        <f>IFERROR(INDEX(Resume!$C$3:$F$221,MATCH(ROW($B4),Resume!$N$3:$N$221,0),MATCH(Quotation!C$18,Resume!$C$2:$F$2,0)),"")</f>
        <v>H-3</v>
      </c>
      <c r="D23" s="1238" t="str">
        <f>IFERROR(INDEX(Resume!$C$3:$F$221,MATCH(ROW($B4),Resume!$N$3:$N$221,0),MATCH(Quotation!D$18,Resume!$C$2:$F$2,0)),"")</f>
        <v>Outer corner joint steel black</v>
      </c>
      <c r="E23" s="1239"/>
      <c r="F23" s="618">
        <f>IFERROR(INDEX(Resume!$C$3:$F$221,MATCH(ROW($B4),Resume!$N$3:$N$221,0),MATCH(Quotation!F$18,Resume!$C$2:$F$2,0)),"")</f>
        <v>0.95</v>
      </c>
      <c r="G23" s="619">
        <f t="shared" si="0"/>
        <v>38</v>
      </c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D23" s="537"/>
    </row>
    <row r="24" spans="1:30" x14ac:dyDescent="0.2">
      <c r="A24" s="500"/>
      <c r="B24" s="534">
        <f>IFERROR(INDEX(Resume!$C$3:$F$221,MATCH(ROW($B5),Resume!$N$3:$N$221,0),MATCH(Quotation!B$18,Resume!$C$2:$F$2,0)),"")</f>
        <v>6</v>
      </c>
      <c r="C24" s="10" t="str">
        <f>IFERROR(INDEX(Resume!$C$3:$F$221,MATCH(ROW($B5),Resume!$N$3:$N$221,0),MATCH(Quotation!C$18,Resume!$C$2:$F$2,0)),"")</f>
        <v>H-4</v>
      </c>
      <c r="D24" s="1238" t="str">
        <f>IFERROR(INDEX(Resume!$C$3:$F$221,MATCH(ROW($B5),Resume!$N$3:$N$221,0),MATCH(Quotation!D$18,Resume!$C$2:$F$2,0)),"")</f>
        <v>Cross junction joint steel black</v>
      </c>
      <c r="E24" s="1239"/>
      <c r="F24" s="618">
        <f>IFERROR(INDEX(Resume!$C$3:$F$221,MATCH(ROW($B5),Resume!$N$3:$N$221,0),MATCH(Quotation!F$18,Resume!$C$2:$F$2,0)),"")</f>
        <v>0.85</v>
      </c>
      <c r="G24" s="619">
        <f t="shared" si="0"/>
        <v>5.0999999999999996</v>
      </c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</row>
    <row r="25" spans="1:30" x14ac:dyDescent="0.2">
      <c r="A25" s="500"/>
      <c r="B25" s="534">
        <f>IFERROR(INDEX(Resume!$C$3:$F$221,MATCH(ROW($B6),Resume!$N$3:$N$221,0),MATCH(Quotation!B$18,Resume!$C$2:$F$2,0)),"")</f>
        <v>4</v>
      </c>
      <c r="C25" s="10" t="str">
        <f>IFERROR(INDEX(Resume!$C$3:$F$221,MATCH(ROW($B6),Resume!$N$3:$N$221,0),MATCH(Quotation!C$18,Resume!$C$2:$F$2,0)),"")</f>
        <v>H-5</v>
      </c>
      <c r="D25" s="1238" t="str">
        <f>IFERROR(INDEX(Resume!$C$3:$F$221,MATCH(ROW($B6),Resume!$N$3:$N$221,0),MATCH(Quotation!D$18,Resume!$C$2:$F$2,0)),"")</f>
        <v>Pivot point joint steel black</v>
      </c>
      <c r="E25" s="1239"/>
      <c r="F25" s="618">
        <f>IFERROR(INDEX(Resume!$C$3:$F$221,MATCH(ROW($B6),Resume!$N$3:$N$221,0),MATCH(Quotation!F$18,Resume!$C$2:$F$2,0)),"")</f>
        <v>0.5</v>
      </c>
      <c r="G25" s="619">
        <f t="shared" si="0"/>
        <v>2</v>
      </c>
    </row>
    <row r="26" spans="1:30" x14ac:dyDescent="0.2">
      <c r="A26" s="500"/>
      <c r="B26" s="534">
        <f>IFERROR(INDEX(Resume!$C$3:$F$221,MATCH(ROW($B7),Resume!$N$3:$N$221,0),MATCH(Quotation!B$18,Resume!$C$2:$F$2,0)),"")</f>
        <v>4</v>
      </c>
      <c r="C26" s="10" t="str">
        <f>IFERROR(INDEX(Resume!$C$3:$F$221,MATCH(ROW($B7),Resume!$N$3:$N$221,0),MATCH(Quotation!C$18,Resume!$C$2:$F$2,0)),"")</f>
        <v>H-6</v>
      </c>
      <c r="D26" s="1238" t="str">
        <f>IFERROR(INDEX(Resume!$C$3:$F$221,MATCH(ROW($B7),Resume!$N$3:$N$221,0),MATCH(Quotation!D$18,Resume!$C$2:$F$2,0)),"")</f>
        <v>Pivot extension steel black</v>
      </c>
      <c r="E26" s="1239"/>
      <c r="F26" s="618">
        <f>IFERROR(INDEX(Resume!$C$3:$F$221,MATCH(ROW($B7),Resume!$N$3:$N$221,0),MATCH(Quotation!F$18,Resume!$C$2:$F$2,0)),"")</f>
        <v>0.5</v>
      </c>
      <c r="G26" s="619">
        <f t="shared" si="0"/>
        <v>2</v>
      </c>
      <c r="I26" s="512"/>
    </row>
    <row r="27" spans="1:30" s="536" customFormat="1" ht="12.75" customHeight="1" x14ac:dyDescent="0.25">
      <c r="A27" s="533"/>
      <c r="B27" s="534">
        <f>IFERROR(INDEX(Resume!$C$3:$F$221,MATCH(ROW($B8),Resume!$N$3:$N$221,0),MATCH(Quotation!B$18,Resume!$C$2:$F$2,0)),"")</f>
        <v>50</v>
      </c>
      <c r="C27" s="10" t="str">
        <f>IFERROR(INDEX(Resume!$C$3:$F$221,MATCH(ROW($B8),Resume!$N$3:$N$221,0),MATCH(Quotation!C$18,Resume!$C$2:$F$2,0)),"")</f>
        <v>AP-ICAP</v>
      </c>
      <c r="D27" s="1238" t="str">
        <f>IFERROR(INDEX(Resume!$C$3:$F$221,MATCH(ROW($B8),Resume!$N$3:$N$221,0),MATCH(Quotation!D$18,Resume!$C$2:$F$2,0)),"")</f>
        <v>End cap plastic bk</v>
      </c>
      <c r="E27" s="1239"/>
      <c r="F27" s="618">
        <f>IFERROR(INDEX(Resume!$C$3:$F$221,MATCH(ROW($B8),Resume!$N$3:$N$221,0),MATCH(Quotation!F$18,Resume!$C$2:$F$2,0)),"")</f>
        <v>0.11</v>
      </c>
      <c r="G27" s="619">
        <f t="shared" si="0"/>
        <v>5.5</v>
      </c>
      <c r="H27" s="535"/>
      <c r="I27" s="502"/>
      <c r="J27" s="535"/>
      <c r="K27" s="535"/>
      <c r="L27" s="535"/>
      <c r="M27" s="535"/>
      <c r="N27" s="535"/>
      <c r="O27" s="535"/>
      <c r="P27" s="535"/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</row>
    <row r="28" spans="1:30" x14ac:dyDescent="0.2">
      <c r="A28" s="500"/>
      <c r="B28" s="534">
        <f>IFERROR(INDEX(Resume!$C$3:$F$221,MATCH(ROW($B9),Resume!$N$3:$N$221,0),MATCH(Quotation!B$18,Resume!$C$2:$F$2,0)),"")</f>
        <v>12</v>
      </c>
      <c r="C28" s="10" t="str">
        <f>IFERROR(INDEX(Resume!$C$3:$F$221,MATCH(ROW($B9),Resume!$N$3:$N$221,0),MATCH(Quotation!C$18,Resume!$C$2:$F$2,0)),"")</f>
        <v>AF-ILEV</v>
      </c>
      <c r="D28" s="1238" t="str">
        <f>IFERROR(INDEX(Resume!$C$3:$F$221,MATCH(ROW($B9),Resume!$N$3:$N$221,0),MATCH(Quotation!D$18,Resume!$C$2:$F$2,0)),"")</f>
        <v>Adjust. inner foot steel zinc</v>
      </c>
      <c r="E28" s="1239"/>
      <c r="F28" s="618">
        <f>IFERROR(INDEX(Resume!$C$3:$F$221,MATCH(ROW($B9),Resume!$N$3:$N$221,0),MATCH(Quotation!F$18,Resume!$C$2:$F$2,0)),"")</f>
        <v>2.25</v>
      </c>
      <c r="G28" s="619">
        <f t="shared" si="0"/>
        <v>27</v>
      </c>
    </row>
    <row r="29" spans="1:30" x14ac:dyDescent="0.2">
      <c r="A29" s="500"/>
      <c r="B29" s="534">
        <f>IFERROR(INDEX(Resume!$C$3:$F$221,MATCH(ROW($B10),Resume!$N$3:$N$221,0),MATCH(Quotation!B$18,Resume!$C$2:$F$2,0)),"")</f>
        <v>20</v>
      </c>
      <c r="C29" s="10" t="str">
        <f>IFERROR(INDEX(Resume!$C$3:$F$221,MATCH(ROW($B10),Resume!$N$3:$N$221,0),MATCH(Quotation!C$18,Resume!$C$2:$F$2,0)),"")</f>
        <v>AO-SHIM</v>
      </c>
      <c r="D29" s="1238" t="str">
        <f>IFERROR(INDEX(Resume!$C$3:$F$221,MATCH(ROW($B10),Resume!$N$3:$N$221,0),MATCH(Quotation!D$18,Resume!$C$2:$F$2,0)),"")</f>
        <v>Leveling shim plastic bk</v>
      </c>
      <c r="E29" s="1239"/>
      <c r="F29" s="618">
        <f>IFERROR(INDEX(Resume!$C$3:$F$221,MATCH(ROW($B10),Resume!$N$3:$N$221,0),MATCH(Quotation!F$18,Resume!$C$2:$F$2,0)),"")</f>
        <v>0.15</v>
      </c>
      <c r="G29" s="619">
        <f t="shared" si="0"/>
        <v>3</v>
      </c>
    </row>
    <row r="30" spans="1:30" x14ac:dyDescent="0.2">
      <c r="A30" s="500"/>
      <c r="B30" s="534">
        <f>IFERROR(INDEX(Resume!$C$3:$F$221,MATCH(ROW($B11),Resume!$N$3:$N$221,0),MATCH(Quotation!B$18,Resume!$C$2:$F$2,0)),"")</f>
        <v>10</v>
      </c>
      <c r="C30" s="10" t="str">
        <f>IFERROR(INDEX(Resume!$C$3:$F$221,MATCH(ROW($B11),Resume!$N$3:$N$221,0),MATCH(Quotation!C$18,Resume!$C$2:$F$2,0)),"")</f>
        <v>AO-EMT1</v>
      </c>
      <c r="D30" s="1238" t="str">
        <f>IFERROR(INDEX(Resume!$C$3:$F$221,MATCH(ROW($B11),Resume!$N$3:$N$221,0),MATCH(Quotation!D$18,Resume!$C$2:$F$2,0)),"")</f>
        <v>Pipe clamp single steel zinc</v>
      </c>
      <c r="E30" s="1239"/>
      <c r="F30" s="618">
        <f>IFERROR(INDEX(Resume!$C$3:$F$221,MATCH(ROW($B11),Resume!$N$3:$N$221,0),MATCH(Quotation!F$18,Resume!$C$2:$F$2,0)),"")</f>
        <v>0.18</v>
      </c>
      <c r="G30" s="619">
        <f t="shared" si="0"/>
        <v>1.7999999999999998</v>
      </c>
    </row>
    <row r="31" spans="1:30" x14ac:dyDescent="0.2">
      <c r="A31" s="500"/>
      <c r="B31" s="534">
        <f>IFERROR(INDEX(Resume!$C$3:$F$221,MATCH(ROW($B12),Resume!$N$3:$N$221,0),MATCH(Quotation!B$18,Resume!$C$2:$F$2,0)),"")</f>
        <v>6</v>
      </c>
      <c r="C31" s="10" t="str">
        <f>IFERROR(INDEX(Resume!$C$3:$F$221,MATCH(ROW($B12),Resume!$N$3:$N$221,0),MATCH(Quotation!C$18,Resume!$C$2:$F$2,0)),"")</f>
        <v>AO-EMT2</v>
      </c>
      <c r="D31" s="1238" t="str">
        <f>IFERROR(INDEX(Resume!$C$3:$F$221,MATCH(ROW($B12),Resume!$N$3:$N$221,0),MATCH(Quotation!D$18,Resume!$C$2:$F$2,0)),"")</f>
        <v>Pipe clamp double steel zinc</v>
      </c>
      <c r="E31" s="1239"/>
      <c r="F31" s="618">
        <f>IFERROR(INDEX(Resume!$C$3:$F$221,MATCH(ROW($B12),Resume!$N$3:$N$221,0),MATCH(Quotation!F$18,Resume!$C$2:$F$2,0)),"")</f>
        <v>0.18</v>
      </c>
      <c r="G31" s="619">
        <f t="shared" si="0"/>
        <v>1.08</v>
      </c>
    </row>
    <row r="32" spans="1:30" x14ac:dyDescent="0.2">
      <c r="A32" s="500"/>
      <c r="B32" s="534">
        <f>IFERROR(INDEX(Resume!$C$3:$F$221,MATCH(ROW($B13),Resume!$N$3:$N$221,0),MATCH(Quotation!B$18,Resume!$C$2:$F$2,0)),"")</f>
        <v>2</v>
      </c>
      <c r="C32" s="10" t="str">
        <f>IFERROR(INDEX(Resume!$C$3:$F$221,MATCH(ROW($B13),Resume!$N$3:$N$221,0),MATCH(Quotation!C$18,Resume!$C$2:$F$2,0)),"")</f>
        <v>AL-TAG1</v>
      </c>
      <c r="D32" s="1238" t="str">
        <f>IFERROR(INDEX(Resume!$C$3:$F$221,MATCH(ROW($B13),Resume!$N$3:$N$221,0),MATCH(Quotation!D$18,Resume!$C$2:$F$2,0)),"")</f>
        <v>Label holder 1X8 plastic clear</v>
      </c>
      <c r="E32" s="1239"/>
      <c r="F32" s="618">
        <f>IFERROR(INDEX(Resume!$C$3:$F$221,MATCH(ROW($B13),Resume!$N$3:$N$221,0),MATCH(Quotation!F$18,Resume!$C$2:$F$2,0)),"")</f>
        <v>1.28</v>
      </c>
      <c r="G32" s="619">
        <f t="shared" si="0"/>
        <v>2.56</v>
      </c>
    </row>
    <row r="33" spans="1:10" x14ac:dyDescent="0.2">
      <c r="A33" s="500"/>
      <c r="B33" s="534">
        <f>IFERROR(INDEX(Resume!$C$3:$F$221,MATCH(ROW($B14),Resume!$N$3:$N$221,0),MATCH(Quotation!B$18,Resume!$C$2:$F$2,0)),"")</f>
        <v>140</v>
      </c>
      <c r="C33" s="10" t="str">
        <f>IFERROR(INDEX(Resume!$C$3:$F$221,MATCH(ROW($B14),Resume!$N$3:$N$221,0),MATCH(Quotation!C$18,Resume!$C$2:$F$2,0)),"")</f>
        <v>M6-25B</v>
      </c>
      <c r="D33" s="1238" t="str">
        <f>IFERROR(INDEX(Resume!$C$3:$F$221,MATCH(ROW($B14),Resume!$N$3:$N$221,0),MATCH(Quotation!D$18,Resume!$C$2:$F$2,0)),"")</f>
        <v>Bolt for joint set black zinc</v>
      </c>
      <c r="E33" s="1239"/>
      <c r="F33" s="618">
        <f>IFERROR(INDEX(Resume!$C$3:$F$221,MATCH(ROW($B14),Resume!$N$3:$N$221,0),MATCH(Quotation!F$18,Resume!$C$2:$F$2,0)),"")</f>
        <v>7.0000000000000007E-2</v>
      </c>
      <c r="G33" s="619">
        <f t="shared" si="0"/>
        <v>9.8000000000000007</v>
      </c>
    </row>
    <row r="34" spans="1:10" x14ac:dyDescent="0.2">
      <c r="A34" s="500"/>
      <c r="B34" s="534">
        <f>IFERROR(INDEX(Resume!$C$3:$F$221,MATCH(ROW($B15),Resume!$N$3:$N$221,0),MATCH(Quotation!B$18,Resume!$C$2:$F$2,0)),"")</f>
        <v>140</v>
      </c>
      <c r="C34" s="10" t="str">
        <f>IFERROR(INDEX(Resume!$C$3:$F$221,MATCH(ROW($B15),Resume!$N$3:$N$221,0),MATCH(Quotation!C$18,Resume!$C$2:$F$2,0)),"")</f>
        <v>M6-N</v>
      </c>
      <c r="D34" s="1238" t="str">
        <f>IFERROR(INDEX(Resume!$C$3:$F$221,MATCH(ROW($B15),Resume!$N$3:$N$221,0),MATCH(Quotation!D$18,Resume!$C$2:$F$2,0)),"")</f>
        <v>Nut for joint set black zinc</v>
      </c>
      <c r="E34" s="1239"/>
      <c r="F34" s="618">
        <f>IFERROR(INDEX(Resume!$C$3:$F$221,MATCH(ROW($B15),Resume!$N$3:$N$221,0),MATCH(Quotation!F$18,Resume!$C$2:$F$2,0)),"")</f>
        <v>0.06</v>
      </c>
      <c r="G34" s="619">
        <f t="shared" si="0"/>
        <v>8.4</v>
      </c>
      <c r="I34" s="512"/>
    </row>
    <row r="35" spans="1:10" x14ac:dyDescent="0.2">
      <c r="A35" s="500"/>
      <c r="B35" s="534">
        <f>IFERROR(INDEX(Resume!$C$3:$F$221,MATCH(ROW($B16),Resume!$N$3:$N$221,0),MATCH(Quotation!B$18,Resume!$C$2:$F$2,0)),"")</f>
        <v>100</v>
      </c>
      <c r="C35" s="10" t="str">
        <f>IFERROR(INDEX(Resume!$C$3:$F$221,MATCH(ROW($B16),Resume!$N$3:$N$221,0),MATCH(Quotation!C$18,Resume!$C$2:$F$2,0)),"")</f>
        <v>F-A85/8</v>
      </c>
      <c r="D35" s="1238" t="str">
        <f>IFERROR(INDEX(Resume!$C$3:$F$221,MATCH(ROW($B16),Resume!$N$3:$N$221,0),MATCH(Quotation!D$18,Resume!$C$2:$F$2,0)),"")</f>
        <v xml:space="preserve">100x Drilling screws #8 X 5/8" </v>
      </c>
      <c r="E35" s="1239"/>
      <c r="F35" s="618">
        <f>IFERROR(INDEX(Resume!$C$3:$F$221,MATCH(ROW($B16),Resume!$N$3:$N$221,0),MATCH(Quotation!F$18,Resume!$C$2:$F$2,0)),"")</f>
        <v>0.05</v>
      </c>
      <c r="G35" s="619">
        <f t="shared" si="0"/>
        <v>5</v>
      </c>
    </row>
    <row r="36" spans="1:10" x14ac:dyDescent="0.2">
      <c r="A36" s="500"/>
      <c r="B36" s="534">
        <f>IFERROR(INDEX(Resume!$C$3:$F$221,MATCH(ROW($B17),Resume!$N$3:$N$221,0),MATCH(Quotation!B$18,Resume!$C$2:$F$2,0)),"")</f>
        <v>4</v>
      </c>
      <c r="C36" s="10" t="str">
        <f>IFERROR(INDEX(Resume!$C$3:$F$221,MATCH(ROW($B17),Resume!$N$3:$N$221,0),MATCH(Quotation!C$18,Resume!$C$2:$F$2,0)),"")</f>
        <v>W-3ESB</v>
      </c>
      <c r="D36" s="1238" t="str">
        <f>IFERROR(INDEX(Resume!$C$3:$F$221,MATCH(ROW($B17),Resume!$N$3:$N$221,0),MATCH(Quotation!D$18,Resume!$C$2:$F$2,0)),"")</f>
        <v>3'' Swivel stem caster brake</v>
      </c>
      <c r="E36" s="1239"/>
      <c r="F36" s="618">
        <f>IFERROR(INDEX(Resume!$C$3:$F$221,MATCH(ROW($B17),Resume!$N$3:$N$221,0),MATCH(Quotation!F$18,Resume!$C$2:$F$2,0)),"")</f>
        <v>9</v>
      </c>
      <c r="G36" s="619">
        <f t="shared" si="0"/>
        <v>36</v>
      </c>
    </row>
    <row r="37" spans="1:10" x14ac:dyDescent="0.2">
      <c r="A37" s="500"/>
      <c r="B37" s="534">
        <f>IFERROR(INDEX(Resume!$C$3:$F$221,MATCH(ROW($B18),Resume!$N$3:$N$221,0),MATCH(Quotation!B$18,Resume!$C$2:$F$2,0)),"")</f>
        <v>2</v>
      </c>
      <c r="C37" s="10" t="str">
        <f>IFERROR(INDEX(Resume!$C$3:$F$221,MATCH(ROW($B18),Resume!$N$3:$N$221,0),MATCH(Quotation!C$18,Resume!$C$2:$F$2,0)),"")</f>
        <v>W-4ESB</v>
      </c>
      <c r="D37" s="1238" t="str">
        <f>IFERROR(INDEX(Resume!$C$3:$F$221,MATCH(ROW($B18),Resume!$N$3:$N$221,0),MATCH(Quotation!D$18,Resume!$C$2:$F$2,0)),"")</f>
        <v>4'' Swivel caster brake stem</v>
      </c>
      <c r="E37" s="1239"/>
      <c r="F37" s="618">
        <f>IFERROR(INDEX(Resume!$C$3:$F$221,MATCH(ROW($B18),Resume!$N$3:$N$221,0),MATCH(Quotation!F$18,Resume!$C$2:$F$2,0)),"")</f>
        <v>10</v>
      </c>
      <c r="G37" s="619">
        <f t="shared" si="0"/>
        <v>20</v>
      </c>
    </row>
    <row r="38" spans="1:10" x14ac:dyDescent="0.2">
      <c r="A38" s="500"/>
      <c r="B38" s="534">
        <f>IFERROR(INDEX(Resume!$C$3:$F$221,MATCH(ROW($B19),Resume!$N$3:$N$221,0),MATCH(Quotation!B$18,Resume!$C$2:$F$2,0)),"")</f>
        <v>2</v>
      </c>
      <c r="C38" s="10" t="str">
        <f>IFERROR(INDEX(Resume!$C$3:$F$221,MATCH(ROW($B19),Resume!$N$3:$N$221,0),MATCH(Quotation!C$18,Resume!$C$2:$F$2,0)),"")</f>
        <v>W-4EF</v>
      </c>
      <c r="D38" s="1238" t="str">
        <f>IFERROR(INDEX(Resume!$C$3:$F$221,MATCH(ROW($B19),Resume!$N$3:$N$221,0),MATCH(Quotation!D$18,Resume!$C$2:$F$2,0)),"")</f>
        <v>4'' Rigid stem caster</v>
      </c>
      <c r="E38" s="1239"/>
      <c r="F38" s="618">
        <f>IFERROR(INDEX(Resume!$C$3:$F$221,MATCH(ROW($B19),Resume!$N$3:$N$221,0),MATCH(Quotation!F$18,Resume!$C$2:$F$2,0)),"")</f>
        <v>13</v>
      </c>
      <c r="G38" s="619">
        <f t="shared" si="0"/>
        <v>26</v>
      </c>
    </row>
    <row r="39" spans="1:10" x14ac:dyDescent="0.2">
      <c r="A39" s="500"/>
      <c r="B39" s="534" t="str">
        <f>IFERROR(INDEX(Resume!$C$3:$F$221,MATCH(ROW($B20),Resume!$N$3:$N$221,0),MATCH(Quotation!B$18,Resume!$C$2:$F$2,0)),"")</f>
        <v/>
      </c>
      <c r="C39" s="10" t="str">
        <f>IFERROR(INDEX(Resume!$C$3:$F$221,MATCH(ROW($B20),Resume!$N$3:$N$221,0),MATCH(Quotation!C$18,Resume!$C$2:$F$2,0)),"")</f>
        <v/>
      </c>
      <c r="D39" s="1238" t="str">
        <f>IFERROR(INDEX(Resume!$C$3:$F$221,MATCH(ROW($B20),Resume!$N$3:$N$221,0),MATCH(Quotation!D$18,Resume!$C$2:$F$2,0)),"")</f>
        <v/>
      </c>
      <c r="E39" s="1239"/>
      <c r="F39" s="618" t="str">
        <f>IFERROR(INDEX(Resume!$C$3:$F$221,MATCH(ROW($B20),Resume!$N$3:$N$221,0),MATCH(Quotation!F$18,Resume!$C$2:$F$2,0)),"")</f>
        <v/>
      </c>
      <c r="G39" s="619" t="str">
        <f t="shared" si="0"/>
        <v/>
      </c>
    </row>
    <row r="40" spans="1:10" x14ac:dyDescent="0.2">
      <c r="A40" s="500"/>
      <c r="B40" s="534" t="str">
        <f>IFERROR(INDEX(Resume!$C$3:$F$221,MATCH(ROW($B21),Resume!$N$3:$N$221,0),MATCH(Quotation!B$18,Resume!$C$2:$F$2,0)),"")</f>
        <v/>
      </c>
      <c r="C40" s="10" t="str">
        <f>IFERROR(INDEX(Resume!$C$3:$F$221,MATCH(ROW($B21),Resume!$N$3:$N$221,0),MATCH(Quotation!C$18,Resume!$C$2:$F$2,0)),"")</f>
        <v/>
      </c>
      <c r="D40" s="1238" t="str">
        <f>IFERROR(INDEX(Resume!$C$3:$F$221,MATCH(ROW($B21),Resume!$N$3:$N$221,0),MATCH(Quotation!D$18,Resume!$C$2:$F$2,0)),"")</f>
        <v/>
      </c>
      <c r="E40" s="1239"/>
      <c r="F40" s="618" t="str">
        <f>IFERROR(INDEX(Resume!$C$3:$F$221,MATCH(ROW($B21),Resume!$N$3:$N$221,0),MATCH(Quotation!F$18,Resume!$C$2:$F$2,0)),"")</f>
        <v/>
      </c>
      <c r="G40" s="619" t="str">
        <f t="shared" si="0"/>
        <v/>
      </c>
    </row>
    <row r="41" spans="1:10" x14ac:dyDescent="0.2">
      <c r="A41" s="500"/>
      <c r="B41" s="534" t="str">
        <f>IFERROR(INDEX(Resume!$C$3:$F$221,MATCH(ROW($B22),Resume!$N$3:$N$221,0),MATCH(Quotation!B$18,Resume!$C$2:$F$2,0)),"")</f>
        <v/>
      </c>
      <c r="C41" s="10" t="str">
        <f>IFERROR(INDEX(Resume!$C$3:$F$221,MATCH(ROW($B22),Resume!$N$3:$N$221,0),MATCH(Quotation!C$18,Resume!$C$2:$F$2,0)),"")</f>
        <v/>
      </c>
      <c r="D41" s="1238" t="str">
        <f>IFERROR(INDEX(Resume!$C$3:$F$221,MATCH(ROW($B22),Resume!$N$3:$N$221,0),MATCH(Quotation!D$18,Resume!$C$2:$F$2,0)),"")</f>
        <v/>
      </c>
      <c r="E41" s="1239"/>
      <c r="F41" s="618" t="str">
        <f>IFERROR(INDEX(Resume!$C$3:$F$221,MATCH(ROW($B22),Resume!$N$3:$N$221,0),MATCH(Quotation!F$18,Resume!$C$2:$F$2,0)),"")</f>
        <v/>
      </c>
      <c r="G41" s="619" t="str">
        <f t="shared" si="0"/>
        <v/>
      </c>
      <c r="I41" s="512"/>
    </row>
    <row r="42" spans="1:10" x14ac:dyDescent="0.2">
      <c r="A42" s="500"/>
      <c r="B42" s="534" t="str">
        <f>IFERROR(INDEX(Resume!$C$3:$F$221,MATCH(ROW($B23),Resume!$N$3:$N$221,0),MATCH(Quotation!B$18,Resume!$C$2:$F$2,0)),"")</f>
        <v/>
      </c>
      <c r="C42" s="10" t="str">
        <f>IFERROR(INDEX(Resume!$C$3:$F$221,MATCH(ROW($B23),Resume!$N$3:$N$221,0),MATCH(Quotation!C$18,Resume!$C$2:$F$2,0)),"")</f>
        <v/>
      </c>
      <c r="D42" s="1238" t="str">
        <f>IFERROR(INDEX(Resume!$C$3:$F$221,MATCH(ROW($B23),Resume!$N$3:$N$221,0),MATCH(Quotation!D$18,Resume!$C$2:$F$2,0)),"")</f>
        <v/>
      </c>
      <c r="E42" s="1239"/>
      <c r="F42" s="618" t="str">
        <f>IFERROR(INDEX(Resume!$C$3:$F$221,MATCH(ROW($B23),Resume!$N$3:$N$221,0),MATCH(Quotation!F$18,Resume!$C$2:$F$2,0)),"")</f>
        <v/>
      </c>
      <c r="G42" s="619" t="str">
        <f t="shared" si="0"/>
        <v/>
      </c>
      <c r="I42" s="512"/>
    </row>
    <row r="43" spans="1:10" x14ac:dyDescent="0.2">
      <c r="A43" s="500"/>
      <c r="B43" s="534" t="str">
        <f>IFERROR(INDEX(Resume!$C$3:$F$221,MATCH(ROW($B24),Resume!$N$3:$N$221,0),MATCH(Quotation!B$18,Resume!$C$2:$F$2,0)),"")</f>
        <v/>
      </c>
      <c r="C43" s="10" t="str">
        <f>IFERROR(INDEX(Resume!$C$3:$F$221,MATCH(ROW($B24),Resume!$N$3:$N$221,0),MATCH(Quotation!C$18,Resume!$C$2:$F$2,0)),"")</f>
        <v/>
      </c>
      <c r="D43" s="1238" t="str">
        <f>IFERROR(INDEX(Resume!$C$3:$F$221,MATCH(ROW($B24),Resume!$N$3:$N$221,0),MATCH(Quotation!D$18,Resume!$C$2:$F$2,0)),"")</f>
        <v/>
      </c>
      <c r="E43" s="1239"/>
      <c r="F43" s="618" t="str">
        <f>IFERROR(INDEX(Resume!$C$3:$F$221,MATCH(ROW($B24),Resume!$N$3:$N$221,0),MATCH(Quotation!F$18,Resume!$C$2:$F$2,0)),"")</f>
        <v/>
      </c>
      <c r="G43" s="619" t="str">
        <f t="shared" si="0"/>
        <v/>
      </c>
      <c r="I43" s="512"/>
    </row>
    <row r="44" spans="1:10" x14ac:dyDescent="0.2">
      <c r="A44" s="500"/>
      <c r="B44" s="534" t="str">
        <f>IFERROR(INDEX(Resume!$C$3:$F$221,MATCH(ROW($B25),Resume!$N$3:$N$221,0),MATCH(Quotation!B$18,Resume!$C$2:$F$2,0)),"")</f>
        <v/>
      </c>
      <c r="C44" s="10" t="str">
        <f>IFERROR(INDEX(Resume!$C$3:$F$221,MATCH(ROW($B25),Resume!$N$3:$N$221,0),MATCH(Quotation!C$18,Resume!$C$2:$F$2,0)),"")</f>
        <v/>
      </c>
      <c r="D44" s="1238" t="str">
        <f>IFERROR(INDEX(Resume!$C$3:$F$221,MATCH(ROW($B25),Resume!$N$3:$N$221,0),MATCH(Quotation!D$18,Resume!$C$2:$F$2,0)),"")</f>
        <v/>
      </c>
      <c r="E44" s="1239"/>
      <c r="F44" s="618" t="str">
        <f>IFERROR(INDEX(Resume!$C$3:$F$221,MATCH(ROW($B25),Resume!$N$3:$N$221,0),MATCH(Quotation!F$18,Resume!$C$2:$F$2,0)),"")</f>
        <v/>
      </c>
      <c r="G44" s="619" t="str">
        <f t="shared" si="0"/>
        <v/>
      </c>
      <c r="I44" s="512"/>
    </row>
    <row r="45" spans="1:10" x14ac:dyDescent="0.2">
      <c r="A45" s="500"/>
      <c r="B45" s="534" t="str">
        <f>IFERROR(INDEX(Resume!$C$3:$F$221,MATCH(ROW($B26),Resume!$N$3:$N$221,0),MATCH(Quotation!B$18,Resume!$C$2:$F$2,0)),"")</f>
        <v/>
      </c>
      <c r="C45" s="10" t="str">
        <f>IFERROR(INDEX(Resume!$C$3:$F$221,MATCH(ROW($B26),Resume!$N$3:$N$221,0),MATCH(Quotation!C$18,Resume!$C$2:$F$2,0)),"")</f>
        <v/>
      </c>
      <c r="D45" s="1238" t="str">
        <f>IFERROR(INDEX(Resume!$C$3:$F$221,MATCH(ROW($B26),Resume!$N$3:$N$221,0),MATCH(Quotation!D$18,Resume!$C$2:$F$2,0)),"")</f>
        <v/>
      </c>
      <c r="E45" s="1239"/>
      <c r="F45" s="618" t="str">
        <f>IFERROR(INDEX(Resume!$C$3:$F$221,MATCH(ROW($B26),Resume!$N$3:$N$221,0),MATCH(Quotation!F$18,Resume!$C$2:$F$2,0)),"")</f>
        <v/>
      </c>
      <c r="G45" s="619" t="str">
        <f t="shared" si="0"/>
        <v/>
      </c>
    </row>
    <row r="46" spans="1:10" x14ac:dyDescent="0.2">
      <c r="A46" s="500"/>
      <c r="B46" s="534" t="str">
        <f>IFERROR(INDEX(Resume!$C$3:$F$221,MATCH(ROW($B27),Resume!$N$3:$N$221,0),MATCH(Quotation!B$18,Resume!$C$2:$F$2,0)),"")</f>
        <v/>
      </c>
      <c r="C46" s="10" t="str">
        <f>IFERROR(INDEX(Resume!$C$3:$F$221,MATCH(ROW($B27),Resume!$N$3:$N$221,0),MATCH(Quotation!C$18,Resume!$C$2:$F$2,0)),"")</f>
        <v/>
      </c>
      <c r="D46" s="1238" t="str">
        <f>IFERROR(INDEX(Resume!$C$3:$F$221,MATCH(ROW($B27),Resume!$N$3:$N$221,0),MATCH(Quotation!D$18,Resume!$C$2:$F$2,0)),"")</f>
        <v/>
      </c>
      <c r="E46" s="1239"/>
      <c r="F46" s="618" t="str">
        <f>IFERROR(INDEX(Resume!$C$3:$F$221,MATCH(ROW($B27),Resume!$N$3:$N$221,0),MATCH(Quotation!F$18,Resume!$C$2:$F$2,0)),"")</f>
        <v/>
      </c>
      <c r="G46" s="619" t="str">
        <f t="shared" si="0"/>
        <v/>
      </c>
      <c r="I46" s="538"/>
      <c r="J46" s="538"/>
    </row>
    <row r="47" spans="1:10" x14ac:dyDescent="0.2">
      <c r="A47" s="500"/>
      <c r="B47" s="534" t="str">
        <f>IFERROR(INDEX(Resume!$C$3:$F$221,MATCH(ROW($B28),Resume!$N$3:$N$221,0),MATCH(Quotation!B$18,Resume!$C$2:$F$2,0)),"")</f>
        <v/>
      </c>
      <c r="C47" s="10" t="str">
        <f>IFERROR(INDEX(Resume!$C$3:$F$221,MATCH(ROW($B28),Resume!$N$3:$N$221,0),MATCH(Quotation!C$18,Resume!$C$2:$F$2,0)),"")</f>
        <v/>
      </c>
      <c r="D47" s="1238" t="str">
        <f>IFERROR(INDEX(Resume!$C$3:$F$221,MATCH(ROW($B28),Resume!$N$3:$N$221,0),MATCH(Quotation!D$18,Resume!$C$2:$F$2,0)),"")</f>
        <v/>
      </c>
      <c r="E47" s="1239"/>
      <c r="F47" s="618" t="str">
        <f>IFERROR(INDEX(Resume!$C$3:$F$221,MATCH(ROW($B28),Resume!$N$3:$N$221,0),MATCH(Quotation!F$18,Resume!$C$2:$F$2,0)),"")</f>
        <v/>
      </c>
      <c r="G47" s="619" t="str">
        <f t="shared" si="0"/>
        <v/>
      </c>
      <c r="I47" s="538"/>
      <c r="J47" s="538"/>
    </row>
    <row r="48" spans="1:10" x14ac:dyDescent="0.2">
      <c r="A48" s="500"/>
      <c r="B48" s="534" t="str">
        <f>IFERROR(INDEX(Resume!$C$3:$F$221,MATCH(ROW($B29),Resume!$N$3:$N$221,0),MATCH(Quotation!B$18,Resume!$C$2:$F$2,0)),"")</f>
        <v/>
      </c>
      <c r="C48" s="10" t="str">
        <f>IFERROR(INDEX(Resume!$C$3:$F$221,MATCH(ROW($B29),Resume!$N$3:$N$221,0),MATCH(Quotation!C$18,Resume!$C$2:$F$2,0)),"")</f>
        <v/>
      </c>
      <c r="D48" s="1238" t="str">
        <f>IFERROR(INDEX(Resume!$C$3:$F$221,MATCH(ROW($B29),Resume!$N$3:$N$221,0),MATCH(Quotation!D$18,Resume!$C$2:$F$2,0)),"")</f>
        <v/>
      </c>
      <c r="E48" s="1239"/>
      <c r="F48" s="618" t="str">
        <f>IFERROR(INDEX(Resume!$C$3:$F$221,MATCH(ROW($B29),Resume!$N$3:$N$221,0),MATCH(Quotation!F$18,Resume!$C$2:$F$2,0)),"")</f>
        <v/>
      </c>
      <c r="G48" s="619" t="str">
        <f t="shared" si="0"/>
        <v/>
      </c>
      <c r="I48" s="538"/>
      <c r="J48" s="538"/>
    </row>
    <row r="49" spans="1:10" x14ac:dyDescent="0.2">
      <c r="A49" s="500"/>
      <c r="B49" s="534" t="str">
        <f>IFERROR(INDEX(Resume!$C$3:$F$221,MATCH(ROW($B30),Resume!$N$3:$N$221,0),MATCH(Quotation!B$18,Resume!$C$2:$F$2,0)),"")</f>
        <v/>
      </c>
      <c r="C49" s="10" t="str">
        <f>IFERROR(INDEX(Resume!$C$3:$F$221,MATCH(ROW($B30),Resume!$N$3:$N$221,0),MATCH(Quotation!C$18,Resume!$C$2:$F$2,0)),"")</f>
        <v/>
      </c>
      <c r="D49" s="1238" t="str">
        <f>IFERROR(INDEX(Resume!$C$3:$F$221,MATCH(ROW($B30),Resume!$N$3:$N$221,0),MATCH(Quotation!D$18,Resume!$C$2:$F$2,0)),"")</f>
        <v/>
      </c>
      <c r="E49" s="1239"/>
      <c r="F49" s="618" t="str">
        <f>IFERROR(INDEX(Resume!$C$3:$F$221,MATCH(ROW($B30),Resume!$N$3:$N$221,0),MATCH(Quotation!F$18,Resume!$C$2:$F$2,0)),"")</f>
        <v/>
      </c>
      <c r="G49" s="619" t="str">
        <f t="shared" si="0"/>
        <v/>
      </c>
      <c r="I49" s="538"/>
      <c r="J49" s="538"/>
    </row>
    <row r="50" spans="1:10" x14ac:dyDescent="0.2">
      <c r="A50" s="500"/>
      <c r="B50" s="534" t="str">
        <f>IFERROR(INDEX(Resume!$C$3:$F$221,MATCH(ROW($B31),Resume!$N$3:$N$221,0),MATCH(Quotation!B$18,Resume!$C$2:$F$2,0)),"")</f>
        <v/>
      </c>
      <c r="C50" s="10" t="str">
        <f>IFERROR(INDEX(Resume!$C$3:$F$221,MATCH(ROW($B31),Resume!$N$3:$N$221,0),MATCH(Quotation!C$18,Resume!$C$2:$F$2,0)),"")</f>
        <v/>
      </c>
      <c r="D50" s="1238" t="str">
        <f>IFERROR(INDEX(Resume!$C$3:$F$221,MATCH(ROW($B31),Resume!$N$3:$N$221,0),MATCH(Quotation!D$18,Resume!$C$2:$F$2,0)),"")</f>
        <v/>
      </c>
      <c r="E50" s="1239"/>
      <c r="F50" s="618" t="str">
        <f>IFERROR(INDEX(Resume!$C$3:$F$221,MATCH(ROW($B31),Resume!$N$3:$N$221,0),MATCH(Quotation!F$18,Resume!$C$2:$F$2,0)),"")</f>
        <v/>
      </c>
      <c r="G50" s="619" t="str">
        <f t="shared" si="0"/>
        <v/>
      </c>
      <c r="I50" s="538"/>
      <c r="J50" s="538"/>
    </row>
    <row r="51" spans="1:10" x14ac:dyDescent="0.2">
      <c r="A51" s="500"/>
      <c r="B51" s="534" t="str">
        <f>IFERROR(INDEX(Resume!$C$3:$F$221,MATCH(ROW($B32),Resume!$N$3:$N$221,0),MATCH(Quotation!B$18,Resume!$C$2:$F$2,0)),"")</f>
        <v/>
      </c>
      <c r="C51" s="10" t="str">
        <f>IFERROR(INDEX(Resume!$C$3:$F$221,MATCH(ROW($B32),Resume!$N$3:$N$221,0),MATCH(Quotation!C$18,Resume!$C$2:$F$2,0)),"")</f>
        <v/>
      </c>
      <c r="D51" s="1238" t="str">
        <f>IFERROR(INDEX(Resume!$C$3:$F$221,MATCH(ROW($B32),Resume!$N$3:$N$221,0),MATCH(Quotation!D$18,Resume!$C$2:$F$2,0)),"")</f>
        <v/>
      </c>
      <c r="E51" s="1239"/>
      <c r="F51" s="618" t="str">
        <f>IFERROR(INDEX(Resume!$C$3:$F$221,MATCH(ROW($B32),Resume!$N$3:$N$221,0),MATCH(Quotation!F$18,Resume!$C$2:$F$2,0)),"")</f>
        <v/>
      </c>
      <c r="G51" s="619" t="str">
        <f t="shared" si="0"/>
        <v/>
      </c>
      <c r="I51" s="538"/>
      <c r="J51" s="538"/>
    </row>
    <row r="52" spans="1:10" x14ac:dyDescent="0.2">
      <c r="A52" s="500"/>
      <c r="B52" s="534" t="str">
        <f>IFERROR(INDEX(Resume!$C$3:$F$221,MATCH(ROW($B33),Resume!$N$3:$N$221,0),MATCH(Quotation!B$18,Resume!$C$2:$F$2,0)),"")</f>
        <v/>
      </c>
      <c r="C52" s="10" t="str">
        <f>IFERROR(INDEX(Resume!$C$3:$F$221,MATCH(ROW($B33),Resume!$N$3:$N$221,0),MATCH(Quotation!C$18,Resume!$C$2:$F$2,0)),"")</f>
        <v/>
      </c>
      <c r="D52" s="1238" t="str">
        <f>IFERROR(INDEX(Resume!$C$3:$F$221,MATCH(ROW($B33),Resume!$N$3:$N$221,0),MATCH(Quotation!D$18,Resume!$C$2:$F$2,0)),"")</f>
        <v/>
      </c>
      <c r="E52" s="1239"/>
      <c r="F52" s="618" t="str">
        <f>IFERROR(INDEX(Resume!$C$3:$F$221,MATCH(ROW($B33),Resume!$N$3:$N$221,0),MATCH(Quotation!F$18,Resume!$C$2:$F$2,0)),"")</f>
        <v/>
      </c>
      <c r="G52" s="619" t="str">
        <f t="shared" si="0"/>
        <v/>
      </c>
      <c r="I52" s="538"/>
      <c r="J52" s="538"/>
    </row>
    <row r="53" spans="1:10" x14ac:dyDescent="0.2">
      <c r="A53" s="500"/>
      <c r="B53" s="534" t="str">
        <f>IFERROR(INDEX(Resume!$C$3:$F$221,MATCH(ROW($B34),Resume!$N$3:$N$221,0),MATCH(Quotation!B$18,Resume!$C$2:$F$2,0)),"")</f>
        <v/>
      </c>
      <c r="C53" s="10" t="str">
        <f>IFERROR(INDEX(Resume!$C$3:$F$221,MATCH(ROW($B34),Resume!$N$3:$N$221,0),MATCH(Quotation!C$18,Resume!$C$2:$F$2,0)),"")</f>
        <v/>
      </c>
      <c r="D53" s="1238" t="str">
        <f>IFERROR(INDEX(Resume!$C$3:$F$221,MATCH(ROW($B34),Resume!$N$3:$N$221,0),MATCH(Quotation!D$18,Resume!$C$2:$F$2,0)),"")</f>
        <v/>
      </c>
      <c r="E53" s="1239"/>
      <c r="F53" s="618" t="str">
        <f>IFERROR(INDEX(Resume!$C$3:$F$221,MATCH(ROW($B34),Resume!$N$3:$N$221,0),MATCH(Quotation!F$18,Resume!$C$2:$F$2,0)),"")</f>
        <v/>
      </c>
      <c r="G53" s="619" t="str">
        <f t="shared" si="0"/>
        <v/>
      </c>
      <c r="I53" s="538"/>
      <c r="J53" s="538"/>
    </row>
    <row r="54" spans="1:10" x14ac:dyDescent="0.2">
      <c r="A54" s="500"/>
      <c r="B54" s="534" t="str">
        <f>IFERROR(INDEX(Resume!$C$3:$F$221,MATCH(ROW($B35),Resume!$N$3:$N$221,0),MATCH(Quotation!B$18,Resume!$C$2:$F$2,0)),"")</f>
        <v/>
      </c>
      <c r="C54" s="10" t="str">
        <f>IFERROR(INDEX(Resume!$C$3:$F$221,MATCH(ROW($B35),Resume!$N$3:$N$221,0),MATCH(Quotation!C$18,Resume!$C$2:$F$2,0)),"")</f>
        <v/>
      </c>
      <c r="D54" s="1238" t="str">
        <f>IFERROR(INDEX(Resume!$C$3:$F$221,MATCH(ROW($B35),Resume!$N$3:$N$221,0),MATCH(Quotation!D$18,Resume!$C$2:$F$2,0)),"")</f>
        <v/>
      </c>
      <c r="E54" s="1239"/>
      <c r="F54" s="618" t="str">
        <f>IFERROR(INDEX(Resume!$C$3:$F$221,MATCH(ROW($B35),Resume!$N$3:$N$221,0),MATCH(Quotation!F$18,Resume!$C$2:$F$2,0)),"")</f>
        <v/>
      </c>
      <c r="G54" s="619" t="str">
        <f t="shared" si="0"/>
        <v/>
      </c>
      <c r="I54" s="538"/>
      <c r="J54" s="538"/>
    </row>
    <row r="55" spans="1:10" x14ac:dyDescent="0.2">
      <c r="A55" s="500"/>
      <c r="B55" s="534" t="str">
        <f>IFERROR(INDEX(Resume!$C$3:$F$221,MATCH(ROW($B36),Resume!$N$3:$N$221,0),MATCH(Quotation!B$18,Resume!$C$2:$F$2,0)),"")</f>
        <v/>
      </c>
      <c r="C55" s="10" t="str">
        <f>IFERROR(INDEX(Resume!$C$3:$F$221,MATCH(ROW($B36),Resume!$N$3:$N$221,0),MATCH(Quotation!C$18,Resume!$C$2:$F$2,0)),"")</f>
        <v/>
      </c>
      <c r="D55" s="1238" t="str">
        <f>IFERROR(INDEX(Resume!$C$3:$F$221,MATCH(ROW($B36),Resume!$N$3:$N$221,0),MATCH(Quotation!D$18,Resume!$C$2:$F$2,0)),"")</f>
        <v/>
      </c>
      <c r="E55" s="1239"/>
      <c r="F55" s="618" t="str">
        <f>IFERROR(INDEX(Resume!$C$3:$F$221,MATCH(ROW($B36),Resume!$N$3:$N$221,0),MATCH(Quotation!F$18,Resume!$C$2:$F$2,0)),"")</f>
        <v/>
      </c>
      <c r="G55" s="619" t="str">
        <f t="shared" si="0"/>
        <v/>
      </c>
      <c r="I55" s="538"/>
      <c r="J55" s="538"/>
    </row>
    <row r="56" spans="1:10" x14ac:dyDescent="0.2">
      <c r="A56" s="500"/>
      <c r="B56" s="534" t="str">
        <f>IFERROR(INDEX(Resume!$C$3:$F$221,MATCH(ROW($B37),Resume!$N$3:$N$221,0),MATCH(Quotation!B$18,Resume!$C$2:$F$2,0)),"")</f>
        <v/>
      </c>
      <c r="C56" s="10" t="str">
        <f>IFERROR(INDEX(Resume!$C$3:$F$221,MATCH(ROW($B37),Resume!$N$3:$N$221,0),MATCH(Quotation!C$18,Resume!$C$2:$F$2,0)),"")</f>
        <v/>
      </c>
      <c r="D56" s="1238" t="str">
        <f>IFERROR(INDEX(Resume!$C$3:$F$221,MATCH(ROW($B37),Resume!$N$3:$N$221,0),MATCH(Quotation!D$18,Resume!$C$2:$F$2,0)),"")</f>
        <v/>
      </c>
      <c r="E56" s="1239"/>
      <c r="F56" s="618" t="str">
        <f>IFERROR(INDEX(Resume!$C$3:$F$221,MATCH(ROW($B37),Resume!$N$3:$N$221,0),MATCH(Quotation!F$18,Resume!$C$2:$F$2,0)),"")</f>
        <v/>
      </c>
      <c r="G56" s="619" t="str">
        <f t="shared" si="0"/>
        <v/>
      </c>
      <c r="I56" s="538"/>
      <c r="J56" s="538"/>
    </row>
    <row r="57" spans="1:10" x14ac:dyDescent="0.2">
      <c r="A57" s="500"/>
      <c r="B57" s="534" t="str">
        <f>IFERROR(INDEX(Resume!$C$3:$F$221,MATCH(ROW($B38),Resume!$N$3:$N$221,0),MATCH(Quotation!B$18,Resume!$C$2:$F$2,0)),"")</f>
        <v/>
      </c>
      <c r="C57" s="10" t="str">
        <f>IFERROR(INDEX(Resume!$C$3:$F$221,MATCH(ROW($B38),Resume!$N$3:$N$221,0),MATCH(Quotation!C$18,Resume!$C$2:$F$2,0)),"")</f>
        <v/>
      </c>
      <c r="D57" s="1238" t="str">
        <f>IFERROR(INDEX(Resume!$C$3:$F$221,MATCH(ROW($B38),Resume!$N$3:$N$221,0),MATCH(Quotation!D$18,Resume!$C$2:$F$2,0)),"")</f>
        <v/>
      </c>
      <c r="E57" s="1239"/>
      <c r="F57" s="618" t="str">
        <f>IFERROR(INDEX(Resume!$C$3:$F$221,MATCH(ROW($B38),Resume!$N$3:$N$221,0),MATCH(Quotation!F$18,Resume!$C$2:$F$2,0)),"")</f>
        <v/>
      </c>
      <c r="G57" s="619" t="str">
        <f t="shared" si="0"/>
        <v/>
      </c>
      <c r="I57" s="538"/>
      <c r="J57" s="538"/>
    </row>
    <row r="58" spans="1:10" x14ac:dyDescent="0.2">
      <c r="A58" s="500"/>
      <c r="B58" s="534" t="str">
        <f>IFERROR(INDEX(Resume!$C$3:$F$221,MATCH(ROW($B39),Resume!$N$3:$N$221,0),MATCH(Quotation!B$18,Resume!$C$2:$F$2,0)),"")</f>
        <v/>
      </c>
      <c r="C58" s="10" t="str">
        <f>IFERROR(INDEX(Resume!$C$3:$F$221,MATCH(ROW($B39),Resume!$N$3:$N$221,0),MATCH(Quotation!C$18,Resume!$C$2:$F$2,0)),"")</f>
        <v/>
      </c>
      <c r="D58" s="1238" t="str">
        <f>IFERROR(INDEX(Resume!$C$3:$F$221,MATCH(ROW($B39),Resume!$N$3:$N$221,0),MATCH(Quotation!D$18,Resume!$C$2:$F$2,0)),"")</f>
        <v/>
      </c>
      <c r="E58" s="1239"/>
      <c r="F58" s="618" t="str">
        <f>IFERROR(INDEX(Resume!$C$3:$F$221,MATCH(ROW($B39),Resume!$N$3:$N$221,0),MATCH(Quotation!F$18,Resume!$C$2:$F$2,0)),"")</f>
        <v/>
      </c>
      <c r="G58" s="619" t="str">
        <f t="shared" si="0"/>
        <v/>
      </c>
      <c r="I58" s="538"/>
      <c r="J58" s="538"/>
    </row>
    <row r="59" spans="1:10" x14ac:dyDescent="0.2">
      <c r="A59" s="500"/>
      <c r="B59" s="539"/>
      <c r="C59" s="540" t="s">
        <v>31</v>
      </c>
      <c r="D59" s="539"/>
      <c r="E59" s="541"/>
      <c r="F59" s="542" t="str">
        <f>VLOOKUP(E1,B91:W93,17)</f>
        <v>SUB-TOTAL</v>
      </c>
      <c r="G59" s="620">
        <f>SUM(G19:G58)</f>
        <v>485.72</v>
      </c>
      <c r="I59" s="538"/>
      <c r="J59" s="538"/>
    </row>
    <row r="60" spans="1:10" x14ac:dyDescent="0.2">
      <c r="A60" s="500"/>
      <c r="B60" s="607" t="str">
        <f>VLOOKUP(E1,B91:W93,16)</f>
        <v>TRANSPORT SHOULD BE DONE BY:</v>
      </c>
      <c r="C60" s="608"/>
      <c r="D60" s="609">
        <f>Resume!I223</f>
        <v>165.26720000000003</v>
      </c>
      <c r="E60" s="541"/>
      <c r="F60" s="542" t="s">
        <v>97</v>
      </c>
      <c r="G60" s="621">
        <f>IF(F60= "NO TAXES",0,VLOOKUP(F60,B108:C117,2))*G59</f>
        <v>0</v>
      </c>
      <c r="I60" s="538"/>
      <c r="J60" s="538"/>
    </row>
    <row r="61" spans="1:10" x14ac:dyDescent="0.2">
      <c r="A61" s="500"/>
      <c r="B61" s="543"/>
      <c r="C61" s="606">
        <f>IF(D61=Resume!E229,Resume!D229,IF(D61=Resume!E230,Resume!D230,IF(D61=Resume!E231,Resume!D231,IF(D61=Resume!E232,Resume!D232,IF(D61=Resume!E233,Resume!D233,0)))))</f>
        <v>1</v>
      </c>
      <c r="D61" s="605" t="str">
        <f>IFERROR(INDEX(Resume!$D$229:$G$233,MATCH(ROW($B1),Resume!$G$229:$G$233,0),MATCH(Quotation!D$60,Resume!$D$228:$G$228)),"")</f>
        <v>Wood skids 96'' X 48'' X 35'' (H)</v>
      </c>
      <c r="E61" s="541"/>
      <c r="F61" s="544" t="s">
        <v>60</v>
      </c>
      <c r="G61" s="621">
        <f>G59+G60</f>
        <v>485.72</v>
      </c>
      <c r="I61" s="538"/>
      <c r="J61" s="538"/>
    </row>
    <row r="62" spans="1:10" x14ac:dyDescent="0.2">
      <c r="A62" s="500"/>
      <c r="B62" s="545"/>
      <c r="C62" s="606">
        <f>IF(D62=Resume!E230,Resume!D230,IF(D62=Resume!E231,Resume!D231,IF(D62=Resume!E232,Resume!D232,IF(D62=Resume!E233,Resume!D233,IF(D62=Resume!E234,Resume!D234,0)))))</f>
        <v>0</v>
      </c>
      <c r="D62" s="605" t="str">
        <f>IFERROR(INDEX(Resume!$D$229:$G$233,MATCH(ROW($B2),Resume!$G$229:$G$233,0),MATCH(Quotation!D$60,Resume!$D$228:$G$228)),"")</f>
        <v/>
      </c>
      <c r="E62" s="546"/>
      <c r="F62" s="500"/>
      <c r="G62" s="500"/>
      <c r="I62" s="538"/>
      <c r="J62" s="538"/>
    </row>
    <row r="63" spans="1:10" x14ac:dyDescent="0.2">
      <c r="A63" s="500"/>
      <c r="B63" s="545"/>
      <c r="C63" s="606" t="str">
        <f>VLOOKUP(E1,B91:W93,19)</f>
        <v>Total weight in lbs:</v>
      </c>
      <c r="D63" s="605">
        <f>ROUNDUP(Resume!I223,0)</f>
        <v>166</v>
      </c>
      <c r="E63" s="546"/>
      <c r="F63" s="500"/>
      <c r="G63" s="500"/>
      <c r="I63" s="538"/>
      <c r="J63" s="538"/>
    </row>
    <row r="64" spans="1:10" s="502" customFormat="1" ht="5.25" customHeight="1" x14ac:dyDescent="0.2">
      <c r="A64" s="547"/>
      <c r="B64" s="548"/>
      <c r="C64" s="549"/>
      <c r="D64" s="550"/>
      <c r="E64" s="549"/>
      <c r="F64" s="547"/>
      <c r="G64" s="547"/>
      <c r="I64" s="538"/>
      <c r="J64" s="538"/>
    </row>
    <row r="65" spans="2:6" s="502" customFormat="1" x14ac:dyDescent="0.2"/>
    <row r="66" spans="2:6" s="502" customFormat="1" x14ac:dyDescent="0.2"/>
    <row r="67" spans="2:6" s="502" customFormat="1" hidden="1" x14ac:dyDescent="0.2">
      <c r="B67" s="512" t="s">
        <v>33</v>
      </c>
    </row>
    <row r="68" spans="2:6" s="502" customFormat="1" hidden="1" x14ac:dyDescent="0.2">
      <c r="B68" s="502" t="s">
        <v>422</v>
      </c>
      <c r="C68" s="502" t="s">
        <v>381</v>
      </c>
      <c r="D68" s="502">
        <v>311</v>
      </c>
      <c r="E68" s="502" t="s">
        <v>802</v>
      </c>
      <c r="F68" s="551" t="s">
        <v>423</v>
      </c>
    </row>
    <row r="69" spans="2:6" s="502" customFormat="1" hidden="1" x14ac:dyDescent="0.2">
      <c r="B69" s="547" t="s">
        <v>910</v>
      </c>
      <c r="C69" s="502" t="s">
        <v>381</v>
      </c>
      <c r="D69" s="502">
        <v>302</v>
      </c>
      <c r="E69" s="502" t="s">
        <v>34</v>
      </c>
      <c r="F69" s="551" t="s">
        <v>35</v>
      </c>
    </row>
    <row r="70" spans="2:6" s="502" customFormat="1" hidden="1" x14ac:dyDescent="0.2">
      <c r="B70" s="547" t="s">
        <v>496</v>
      </c>
      <c r="C70" s="502" t="s">
        <v>381</v>
      </c>
      <c r="D70" s="502">
        <v>304</v>
      </c>
      <c r="E70" s="552" t="s">
        <v>416</v>
      </c>
      <c r="F70" s="551" t="s">
        <v>38</v>
      </c>
    </row>
    <row r="71" spans="2:6" s="502" customFormat="1" hidden="1" x14ac:dyDescent="0.2">
      <c r="B71" s="547" t="s">
        <v>904</v>
      </c>
      <c r="C71" s="502" t="s">
        <v>902</v>
      </c>
      <c r="D71" s="502">
        <v>306</v>
      </c>
      <c r="E71" s="552" t="s">
        <v>416</v>
      </c>
      <c r="F71" s="626" t="s">
        <v>905</v>
      </c>
    </row>
    <row r="72" spans="2:6" s="502" customFormat="1" hidden="1" x14ac:dyDescent="0.2">
      <c r="B72" s="502" t="s">
        <v>426</v>
      </c>
      <c r="C72" s="502" t="s">
        <v>381</v>
      </c>
      <c r="D72" s="502">
        <v>313</v>
      </c>
      <c r="E72" s="552" t="s">
        <v>416</v>
      </c>
      <c r="F72" s="551" t="s">
        <v>429</v>
      </c>
    </row>
    <row r="73" spans="2:6" s="502" customFormat="1" hidden="1" x14ac:dyDescent="0.2">
      <c r="B73" s="547" t="s">
        <v>909</v>
      </c>
      <c r="C73" s="502" t="s">
        <v>381</v>
      </c>
      <c r="D73" s="502">
        <v>10</v>
      </c>
      <c r="E73" s="502" t="s">
        <v>907</v>
      </c>
      <c r="F73" s="626" t="s">
        <v>903</v>
      </c>
    </row>
    <row r="74" spans="2:6" s="502" customFormat="1" hidden="1" x14ac:dyDescent="0.2">
      <c r="B74" s="547" t="s">
        <v>41</v>
      </c>
      <c r="C74" s="502" t="s">
        <v>381</v>
      </c>
      <c r="D74" s="502">
        <v>301</v>
      </c>
      <c r="E74" s="502" t="s">
        <v>42</v>
      </c>
      <c r="F74" s="551" t="s">
        <v>43</v>
      </c>
    </row>
    <row r="75" spans="2:6" s="502" customFormat="1" hidden="1" x14ac:dyDescent="0.2">
      <c r="B75" s="547" t="s">
        <v>407</v>
      </c>
      <c r="C75" s="502" t="s">
        <v>381</v>
      </c>
      <c r="D75" s="502">
        <v>9</v>
      </c>
      <c r="E75" s="547" t="s">
        <v>44</v>
      </c>
      <c r="F75" s="553" t="s">
        <v>408</v>
      </c>
    </row>
    <row r="76" spans="2:6" s="502" customFormat="1" hidden="1" x14ac:dyDescent="0.2">
      <c r="B76" s="502" t="s">
        <v>413</v>
      </c>
      <c r="C76" s="502" t="s">
        <v>381</v>
      </c>
      <c r="D76" s="502">
        <v>8</v>
      </c>
      <c r="E76" s="502" t="s">
        <v>414</v>
      </c>
      <c r="F76" s="551" t="s">
        <v>415</v>
      </c>
    </row>
    <row r="77" spans="2:6" s="502" customFormat="1" hidden="1" x14ac:dyDescent="0.2">
      <c r="B77" s="502" t="s">
        <v>901</v>
      </c>
      <c r="C77" s="502" t="s">
        <v>381</v>
      </c>
      <c r="D77" s="502">
        <v>11</v>
      </c>
      <c r="E77" s="502" t="s">
        <v>906</v>
      </c>
      <c r="F77" s="626" t="s">
        <v>908</v>
      </c>
    </row>
    <row r="78" spans="2:6" s="502" customFormat="1" hidden="1" x14ac:dyDescent="0.2">
      <c r="B78" s="502" t="s">
        <v>425</v>
      </c>
      <c r="C78" s="502" t="s">
        <v>381</v>
      </c>
      <c r="D78" s="502">
        <v>6</v>
      </c>
      <c r="E78" s="502" t="s">
        <v>431</v>
      </c>
      <c r="F78" s="551" t="s">
        <v>430</v>
      </c>
    </row>
    <row r="79" spans="2:6" s="502" customFormat="1" hidden="1" x14ac:dyDescent="0.2">
      <c r="B79" s="502" t="s">
        <v>474</v>
      </c>
      <c r="C79" s="502" t="s">
        <v>381</v>
      </c>
      <c r="D79" s="502">
        <v>4</v>
      </c>
      <c r="E79" s="502" t="s">
        <v>476</v>
      </c>
      <c r="F79" s="551" t="s">
        <v>475</v>
      </c>
    </row>
    <row r="80" spans="2:6" s="502" customFormat="1" hidden="1" x14ac:dyDescent="0.2">
      <c r="B80" s="502" t="s">
        <v>899</v>
      </c>
      <c r="C80" s="502" t="s">
        <v>381</v>
      </c>
      <c r="D80" s="502">
        <v>308</v>
      </c>
      <c r="E80" s="552" t="s">
        <v>800</v>
      </c>
      <c r="F80" s="626" t="s">
        <v>900</v>
      </c>
    </row>
    <row r="81" spans="2:23" s="502" customFormat="1" hidden="1" x14ac:dyDescent="0.2">
      <c r="B81" s="502" t="s">
        <v>513</v>
      </c>
      <c r="C81" s="502" t="s">
        <v>381</v>
      </c>
      <c r="D81" s="502">
        <v>309</v>
      </c>
      <c r="E81" s="552" t="s">
        <v>801</v>
      </c>
      <c r="F81" s="626" t="s">
        <v>514</v>
      </c>
    </row>
    <row r="82" spans="2:23" s="502" customFormat="1" hidden="1" x14ac:dyDescent="0.2"/>
    <row r="83" spans="2:23" s="502" customFormat="1" hidden="1" x14ac:dyDescent="0.2">
      <c r="B83" s="512" t="s">
        <v>46</v>
      </c>
    </row>
    <row r="84" spans="2:23" s="502" customFormat="1" hidden="1" x14ac:dyDescent="0.2">
      <c r="B84" s="512"/>
    </row>
    <row r="85" spans="2:23" s="502" customFormat="1" hidden="1" x14ac:dyDescent="0.2">
      <c r="B85" s="502" t="s">
        <v>427</v>
      </c>
      <c r="C85" s="502" t="s">
        <v>47</v>
      </c>
      <c r="D85" s="502" t="s">
        <v>379</v>
      </c>
      <c r="E85" s="502" t="s">
        <v>380</v>
      </c>
    </row>
    <row r="86" spans="2:23" s="502" customFormat="1" hidden="1" x14ac:dyDescent="0.2">
      <c r="B86" s="502" t="s">
        <v>428</v>
      </c>
      <c r="C86" s="502" t="s">
        <v>911</v>
      </c>
      <c r="D86" s="532" t="s">
        <v>912</v>
      </c>
      <c r="E86" s="502" t="s">
        <v>380</v>
      </c>
    </row>
    <row r="87" spans="2:23" s="502" customFormat="1" hidden="1" x14ac:dyDescent="0.2">
      <c r="D87" s="532"/>
    </row>
    <row r="88" spans="2:23" s="502" customFormat="1" hidden="1" x14ac:dyDescent="0.2">
      <c r="D88" s="532"/>
      <c r="E88" s="532"/>
    </row>
    <row r="89" spans="2:23" s="502" customFormat="1" hidden="1" x14ac:dyDescent="0.2"/>
    <row r="90" spans="2:23" s="502" customFormat="1" hidden="1" x14ac:dyDescent="0.2">
      <c r="B90" s="512" t="s">
        <v>100</v>
      </c>
    </row>
    <row r="91" spans="2:23" s="502" customFormat="1" hidden="1" x14ac:dyDescent="0.2"/>
    <row r="92" spans="2:23" s="502" customFormat="1" hidden="1" x14ac:dyDescent="0.2">
      <c r="B92" s="502" t="s">
        <v>30</v>
      </c>
      <c r="C92" s="502" t="s">
        <v>48</v>
      </c>
      <c r="D92" s="502" t="s">
        <v>49</v>
      </c>
      <c r="E92" s="532" t="s">
        <v>391</v>
      </c>
      <c r="F92" s="532" t="s">
        <v>466</v>
      </c>
      <c r="G92" s="532" t="s">
        <v>12</v>
      </c>
      <c r="H92" s="532" t="s">
        <v>390</v>
      </c>
      <c r="I92" s="532" t="s">
        <v>53</v>
      </c>
      <c r="J92" s="532" t="s">
        <v>54</v>
      </c>
      <c r="K92" s="532" t="s">
        <v>477</v>
      </c>
      <c r="L92" s="532" t="s">
        <v>55</v>
      </c>
      <c r="M92" s="532" t="s">
        <v>56</v>
      </c>
      <c r="N92" s="532" t="s">
        <v>57</v>
      </c>
      <c r="O92" s="532" t="s">
        <v>58</v>
      </c>
      <c r="P92" s="532" t="s">
        <v>59</v>
      </c>
      <c r="Q92" s="532" t="s">
        <v>103</v>
      </c>
      <c r="R92" s="532" t="s">
        <v>15</v>
      </c>
      <c r="S92" s="532" t="s">
        <v>61</v>
      </c>
      <c r="T92" s="532" t="s">
        <v>107</v>
      </c>
      <c r="U92" s="502" t="s">
        <v>62</v>
      </c>
      <c r="V92" s="502" t="s">
        <v>63</v>
      </c>
      <c r="W92" s="554" t="s">
        <v>64</v>
      </c>
    </row>
    <row r="93" spans="2:23" s="502" customFormat="1" hidden="1" x14ac:dyDescent="0.2">
      <c r="B93" s="502" t="s">
        <v>65</v>
      </c>
      <c r="C93" s="502" t="s">
        <v>66</v>
      </c>
      <c r="D93" s="502" t="s">
        <v>67</v>
      </c>
      <c r="E93" s="532" t="s">
        <v>68</v>
      </c>
      <c r="F93" s="532" t="s">
        <v>69</v>
      </c>
      <c r="G93" s="532" t="s">
        <v>70</v>
      </c>
      <c r="H93" s="532" t="s">
        <v>52</v>
      </c>
      <c r="I93" s="532" t="s">
        <v>71</v>
      </c>
      <c r="J93" s="532" t="s">
        <v>72</v>
      </c>
      <c r="K93" s="532" t="s">
        <v>73</v>
      </c>
      <c r="L93" s="532" t="s">
        <v>74</v>
      </c>
      <c r="M93" s="532" t="s">
        <v>75</v>
      </c>
      <c r="N93" s="532" t="s">
        <v>76</v>
      </c>
      <c r="O93" s="532" t="s">
        <v>58</v>
      </c>
      <c r="P93" s="532" t="s">
        <v>77</v>
      </c>
      <c r="Q93" s="532" t="s">
        <v>106</v>
      </c>
      <c r="R93" s="532" t="s">
        <v>78</v>
      </c>
      <c r="S93" s="532" t="s">
        <v>61</v>
      </c>
      <c r="T93" s="532" t="s">
        <v>108</v>
      </c>
      <c r="U93" s="532" t="s">
        <v>79</v>
      </c>
      <c r="V93" s="502" t="s">
        <v>80</v>
      </c>
      <c r="W93" s="502" t="s">
        <v>81</v>
      </c>
    </row>
    <row r="94" spans="2:23" s="502" customFormat="1" hidden="1" x14ac:dyDescent="0.2"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2"/>
      <c r="T94" s="532"/>
      <c r="U94" s="532"/>
    </row>
    <row r="95" spans="2:23" s="502" customFormat="1" hidden="1" x14ac:dyDescent="0.2">
      <c r="E95" s="532"/>
      <c r="F95" s="532"/>
      <c r="G95" s="532"/>
      <c r="H95" s="532"/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2"/>
      <c r="T95" s="532"/>
      <c r="U95" s="532"/>
    </row>
    <row r="96" spans="2:23" s="502" customFormat="1" hidden="1" x14ac:dyDescent="0.2"/>
    <row r="97" spans="2:5" s="502" customFormat="1" hidden="1" x14ac:dyDescent="0.2"/>
    <row r="98" spans="2:5" s="502" customFormat="1" hidden="1" x14ac:dyDescent="0.2">
      <c r="B98" s="512" t="s">
        <v>56</v>
      </c>
      <c r="E98" s="512" t="s">
        <v>515</v>
      </c>
    </row>
    <row r="99" spans="2:5" s="502" customFormat="1" hidden="1" x14ac:dyDescent="0.2"/>
    <row r="100" spans="2:5" s="502" customFormat="1" hidden="1" x14ac:dyDescent="0.2">
      <c r="B100" s="502" t="s">
        <v>88</v>
      </c>
      <c r="E100" s="502" t="s">
        <v>516</v>
      </c>
    </row>
    <row r="101" spans="2:5" s="502" customFormat="1" hidden="1" x14ac:dyDescent="0.2">
      <c r="B101" s="502" t="s">
        <v>382</v>
      </c>
      <c r="E101" s="502" t="s">
        <v>517</v>
      </c>
    </row>
    <row r="102" spans="2:5" s="502" customFormat="1" hidden="1" x14ac:dyDescent="0.2">
      <c r="B102" s="502" t="s">
        <v>383</v>
      </c>
    </row>
    <row r="103" spans="2:5" s="502" customFormat="1" hidden="1" x14ac:dyDescent="0.2">
      <c r="B103" s="502" t="s">
        <v>89</v>
      </c>
    </row>
    <row r="104" spans="2:5" s="502" customFormat="1" hidden="1" x14ac:dyDescent="0.2">
      <c r="B104" s="502" t="s">
        <v>389</v>
      </c>
    </row>
    <row r="105" spans="2:5" s="502" customFormat="1" hidden="1" x14ac:dyDescent="0.2"/>
    <row r="106" spans="2:5" s="502" customFormat="1" hidden="1" x14ac:dyDescent="0.2"/>
    <row r="107" spans="2:5" s="502" customFormat="1" hidden="1" x14ac:dyDescent="0.2">
      <c r="B107" s="512" t="s">
        <v>61</v>
      </c>
    </row>
    <row r="108" spans="2:5" s="502" customFormat="1" hidden="1" x14ac:dyDescent="0.2">
      <c r="C108" s="555">
        <v>0</v>
      </c>
    </row>
    <row r="109" spans="2:5" s="502" customFormat="1" hidden="1" x14ac:dyDescent="0.2">
      <c r="B109" s="538" t="s">
        <v>4</v>
      </c>
      <c r="C109" s="556">
        <v>0.05</v>
      </c>
    </row>
    <row r="110" spans="2:5" s="502" customFormat="1" hidden="1" x14ac:dyDescent="0.2">
      <c r="B110" s="538" t="s">
        <v>5</v>
      </c>
      <c r="C110" s="556">
        <v>0.05</v>
      </c>
    </row>
    <row r="111" spans="2:5" s="502" customFormat="1" hidden="1" x14ac:dyDescent="0.2">
      <c r="B111" s="538" t="s">
        <v>91</v>
      </c>
      <c r="C111" s="556">
        <v>0.05</v>
      </c>
    </row>
    <row r="112" spans="2:5" s="502" customFormat="1" hidden="1" x14ac:dyDescent="0.2">
      <c r="B112" s="538" t="s">
        <v>92</v>
      </c>
      <c r="C112" s="556">
        <v>0.05</v>
      </c>
    </row>
    <row r="113" spans="2:3" s="502" customFormat="1" hidden="1" x14ac:dyDescent="0.2">
      <c r="B113" s="538" t="s">
        <v>93</v>
      </c>
      <c r="C113" s="556">
        <v>0.13</v>
      </c>
    </row>
    <row r="114" spans="2:3" s="502" customFormat="1" hidden="1" x14ac:dyDescent="0.2">
      <c r="B114" s="538" t="s">
        <v>94</v>
      </c>
      <c r="C114" s="556">
        <v>0.05</v>
      </c>
    </row>
    <row r="115" spans="2:3" s="502" customFormat="1" hidden="1" x14ac:dyDescent="0.2">
      <c r="B115" s="538" t="s">
        <v>95</v>
      </c>
      <c r="C115" s="556">
        <v>0.14974999999999999</v>
      </c>
    </row>
    <row r="116" spans="2:3" s="502" customFormat="1" hidden="1" x14ac:dyDescent="0.2">
      <c r="B116" s="538" t="s">
        <v>96</v>
      </c>
      <c r="C116" s="556">
        <v>0.05</v>
      </c>
    </row>
    <row r="117" spans="2:3" s="502" customFormat="1" hidden="1" x14ac:dyDescent="0.2">
      <c r="B117" s="502" t="s">
        <v>97</v>
      </c>
      <c r="C117" s="555">
        <v>0</v>
      </c>
    </row>
    <row r="118" spans="2:3" s="502" customFormat="1" x14ac:dyDescent="0.2"/>
    <row r="119" spans="2:3" s="502" customFormat="1" x14ac:dyDescent="0.2"/>
    <row r="120" spans="2:3" s="502" customFormat="1" x14ac:dyDescent="0.2"/>
    <row r="121" spans="2:3" s="502" customFormat="1" x14ac:dyDescent="0.2"/>
    <row r="122" spans="2:3" s="502" customFormat="1" x14ac:dyDescent="0.2"/>
    <row r="123" spans="2:3" s="502" customFormat="1" x14ac:dyDescent="0.2"/>
    <row r="124" spans="2:3" s="502" customFormat="1" x14ac:dyDescent="0.2"/>
    <row r="125" spans="2:3" s="502" customFormat="1" x14ac:dyDescent="0.2"/>
    <row r="126" spans="2:3" s="502" customFormat="1" x14ac:dyDescent="0.2"/>
    <row r="127" spans="2:3" s="502" customFormat="1" x14ac:dyDescent="0.2"/>
    <row r="128" spans="2:3" s="502" customFormat="1" x14ac:dyDescent="0.2"/>
    <row r="129" s="502" customFormat="1" x14ac:dyDescent="0.2"/>
    <row r="130" s="502" customFormat="1" x14ac:dyDescent="0.2"/>
    <row r="131" s="502" customFormat="1" x14ac:dyDescent="0.2"/>
    <row r="132" s="502" customFormat="1" x14ac:dyDescent="0.2"/>
    <row r="133" s="502" customFormat="1" x14ac:dyDescent="0.2"/>
    <row r="134" s="502" customFormat="1" x14ac:dyDescent="0.2"/>
    <row r="135" s="502" customFormat="1" x14ac:dyDescent="0.2"/>
    <row r="136" s="502" customFormat="1" x14ac:dyDescent="0.2"/>
    <row r="137" s="502" customFormat="1" x14ac:dyDescent="0.2"/>
    <row r="138" s="502" customFormat="1" x14ac:dyDescent="0.2"/>
    <row r="139" s="502" customFormat="1" x14ac:dyDescent="0.2"/>
    <row r="140" s="502" customFormat="1" x14ac:dyDescent="0.2"/>
    <row r="141" s="502" customFormat="1" x14ac:dyDescent="0.2"/>
    <row r="142" s="502" customFormat="1" x14ac:dyDescent="0.2"/>
    <row r="143" s="502" customFormat="1" x14ac:dyDescent="0.2"/>
    <row r="144" s="502" customFormat="1" x14ac:dyDescent="0.2"/>
    <row r="145" s="502" customFormat="1" x14ac:dyDescent="0.2"/>
    <row r="146" s="502" customFormat="1" x14ac:dyDescent="0.2"/>
    <row r="147" s="502" customFormat="1" x14ac:dyDescent="0.2"/>
    <row r="148" s="502" customFormat="1" x14ac:dyDescent="0.2"/>
    <row r="149" s="502" customFormat="1" x14ac:dyDescent="0.2"/>
    <row r="150" s="502" customFormat="1" x14ac:dyDescent="0.2"/>
    <row r="151" s="502" customFormat="1" x14ac:dyDescent="0.2"/>
    <row r="152" s="502" customFormat="1" x14ac:dyDescent="0.2"/>
    <row r="153" s="502" customFormat="1" x14ac:dyDescent="0.2"/>
    <row r="154" s="502" customFormat="1" x14ac:dyDescent="0.2"/>
    <row r="155" s="502" customFormat="1" x14ac:dyDescent="0.2"/>
    <row r="156" s="502" customFormat="1" x14ac:dyDescent="0.2"/>
    <row r="157" s="502" customFormat="1" x14ac:dyDescent="0.2"/>
    <row r="158" s="502" customFormat="1" x14ac:dyDescent="0.2"/>
    <row r="159" s="502" customFormat="1" x14ac:dyDescent="0.2"/>
    <row r="160" s="502" customFormat="1" x14ac:dyDescent="0.2"/>
    <row r="161" s="502" customFormat="1" x14ac:dyDescent="0.2"/>
    <row r="162" s="502" customFormat="1" x14ac:dyDescent="0.2"/>
    <row r="163" s="502" customFormat="1" x14ac:dyDescent="0.2"/>
    <row r="164" s="502" customFormat="1" x14ac:dyDescent="0.2"/>
    <row r="165" s="502" customFormat="1" x14ac:dyDescent="0.2"/>
    <row r="166" s="502" customFormat="1" x14ac:dyDescent="0.2"/>
    <row r="167" s="502" customFormat="1" x14ac:dyDescent="0.2"/>
    <row r="168" s="502" customFormat="1" x14ac:dyDescent="0.2"/>
    <row r="169" s="502" customFormat="1" x14ac:dyDescent="0.2"/>
    <row r="170" s="502" customFormat="1" x14ac:dyDescent="0.2"/>
    <row r="171" s="502" customFormat="1" x14ac:dyDescent="0.2"/>
    <row r="172" s="502" customFormat="1" x14ac:dyDescent="0.2"/>
    <row r="173" s="502" customFormat="1" x14ac:dyDescent="0.2"/>
    <row r="174" s="502" customFormat="1" x14ac:dyDescent="0.2"/>
    <row r="175" s="502" customFormat="1" x14ac:dyDescent="0.2"/>
    <row r="176" s="502" customFormat="1" x14ac:dyDescent="0.2"/>
    <row r="177" s="502" customFormat="1" x14ac:dyDescent="0.2"/>
    <row r="178" s="502" customFormat="1" x14ac:dyDescent="0.2"/>
    <row r="179" s="502" customFormat="1" x14ac:dyDescent="0.2"/>
    <row r="180" s="502" customFormat="1" x14ac:dyDescent="0.2"/>
    <row r="181" s="502" customFormat="1" x14ac:dyDescent="0.2"/>
    <row r="182" s="502" customFormat="1" x14ac:dyDescent="0.2"/>
    <row r="183" s="502" customFormat="1" x14ac:dyDescent="0.2"/>
    <row r="184" s="502" customFormat="1" x14ac:dyDescent="0.2"/>
    <row r="185" s="502" customFormat="1" x14ac:dyDescent="0.2"/>
    <row r="186" s="502" customFormat="1" x14ac:dyDescent="0.2"/>
    <row r="187" s="502" customFormat="1" x14ac:dyDescent="0.2"/>
    <row r="188" s="502" customFormat="1" x14ac:dyDescent="0.2"/>
    <row r="189" s="502" customFormat="1" x14ac:dyDescent="0.2"/>
    <row r="190" s="502" customFormat="1" x14ac:dyDescent="0.2"/>
    <row r="191" s="502" customFormat="1" x14ac:dyDescent="0.2"/>
    <row r="192" s="502" customFormat="1" x14ac:dyDescent="0.2"/>
    <row r="193" s="502" customFormat="1" x14ac:dyDescent="0.2"/>
    <row r="194" s="502" customFormat="1" x14ac:dyDescent="0.2"/>
    <row r="195" s="502" customFormat="1" x14ac:dyDescent="0.2"/>
    <row r="196" s="502" customFormat="1" x14ac:dyDescent="0.2"/>
    <row r="197" s="502" customFormat="1" x14ac:dyDescent="0.2"/>
    <row r="198" s="502" customFormat="1" x14ac:dyDescent="0.2"/>
    <row r="199" s="502" customFormat="1" x14ac:dyDescent="0.2"/>
    <row r="200" s="502" customFormat="1" x14ac:dyDescent="0.2"/>
    <row r="201" s="502" customFormat="1" x14ac:dyDescent="0.2"/>
    <row r="202" s="502" customFormat="1" x14ac:dyDescent="0.2"/>
    <row r="203" s="502" customFormat="1" x14ac:dyDescent="0.2"/>
    <row r="204" s="502" customFormat="1" x14ac:dyDescent="0.2"/>
    <row r="205" s="502" customFormat="1" x14ac:dyDescent="0.2"/>
    <row r="206" s="502" customFormat="1" x14ac:dyDescent="0.2"/>
    <row r="207" s="502" customFormat="1" x14ac:dyDescent="0.2"/>
    <row r="208" s="502" customFormat="1" x14ac:dyDescent="0.2"/>
    <row r="209" s="502" customFormat="1" x14ac:dyDescent="0.2"/>
    <row r="210" s="502" customFormat="1" x14ac:dyDescent="0.2"/>
    <row r="211" s="502" customFormat="1" x14ac:dyDescent="0.2"/>
    <row r="212" s="502" customFormat="1" x14ac:dyDescent="0.2"/>
    <row r="213" s="502" customFormat="1" x14ac:dyDescent="0.2"/>
    <row r="214" s="502" customFormat="1" x14ac:dyDescent="0.2"/>
    <row r="215" s="502" customFormat="1" x14ac:dyDescent="0.2"/>
    <row r="216" s="502" customFormat="1" x14ac:dyDescent="0.2"/>
    <row r="217" s="502" customFormat="1" x14ac:dyDescent="0.2"/>
    <row r="218" s="502" customFormat="1" x14ac:dyDescent="0.2"/>
    <row r="219" s="502" customFormat="1" x14ac:dyDescent="0.2"/>
    <row r="220" s="502" customFormat="1" x14ac:dyDescent="0.2"/>
    <row r="221" s="502" customFormat="1" x14ac:dyDescent="0.2"/>
    <row r="222" s="502" customFormat="1" x14ac:dyDescent="0.2"/>
    <row r="223" s="502" customFormat="1" x14ac:dyDescent="0.2"/>
    <row r="224" s="502" customFormat="1" x14ac:dyDescent="0.2"/>
    <row r="225" s="502" customFormat="1" x14ac:dyDescent="0.2"/>
    <row r="226" s="502" customFormat="1" x14ac:dyDescent="0.2"/>
    <row r="227" s="502" customFormat="1" x14ac:dyDescent="0.2"/>
    <row r="228" s="502" customFormat="1" x14ac:dyDescent="0.2"/>
    <row r="229" s="502" customFormat="1" x14ac:dyDescent="0.2"/>
    <row r="230" s="502" customFormat="1" x14ac:dyDescent="0.2"/>
    <row r="231" s="502" customFormat="1" x14ac:dyDescent="0.2"/>
    <row r="232" s="502" customFormat="1" x14ac:dyDescent="0.2"/>
    <row r="233" s="502" customFormat="1" x14ac:dyDescent="0.2"/>
    <row r="234" s="502" customFormat="1" x14ac:dyDescent="0.2"/>
    <row r="235" s="502" customFormat="1" x14ac:dyDescent="0.2"/>
    <row r="236" s="502" customFormat="1" x14ac:dyDescent="0.2"/>
    <row r="237" s="502" customFormat="1" x14ac:dyDescent="0.2"/>
    <row r="238" s="502" customFormat="1" x14ac:dyDescent="0.2"/>
    <row r="239" s="502" customFormat="1" x14ac:dyDescent="0.2"/>
    <row r="240" s="502" customFormat="1" x14ac:dyDescent="0.2"/>
    <row r="241" s="502" customFormat="1" x14ac:dyDescent="0.2"/>
    <row r="242" s="502" customFormat="1" x14ac:dyDescent="0.2"/>
    <row r="243" s="502" customFormat="1" x14ac:dyDescent="0.2"/>
    <row r="244" s="502" customFormat="1" x14ac:dyDescent="0.2"/>
    <row r="245" s="502" customFormat="1" x14ac:dyDescent="0.2"/>
    <row r="246" s="502" customFormat="1" x14ac:dyDescent="0.2"/>
    <row r="247" s="502" customFormat="1" x14ac:dyDescent="0.2"/>
    <row r="248" s="502" customFormat="1" x14ac:dyDescent="0.2"/>
    <row r="249" s="502" customFormat="1" x14ac:dyDescent="0.2"/>
    <row r="250" s="502" customFormat="1" x14ac:dyDescent="0.2"/>
    <row r="251" s="502" customFormat="1" x14ac:dyDescent="0.2"/>
    <row r="252" s="502" customFormat="1" x14ac:dyDescent="0.2"/>
    <row r="253" s="502" customFormat="1" x14ac:dyDescent="0.2"/>
    <row r="254" s="502" customFormat="1" x14ac:dyDescent="0.2"/>
    <row r="255" s="502" customFormat="1" x14ac:dyDescent="0.2"/>
    <row r="256" s="502" customFormat="1" x14ac:dyDescent="0.2"/>
    <row r="257" s="502" customFormat="1" x14ac:dyDescent="0.2"/>
    <row r="258" s="502" customFormat="1" x14ac:dyDescent="0.2"/>
    <row r="259" s="502" customFormat="1" x14ac:dyDescent="0.2"/>
    <row r="260" s="502" customFormat="1" x14ac:dyDescent="0.2"/>
    <row r="261" s="502" customFormat="1" x14ac:dyDescent="0.2"/>
    <row r="262" s="502" customFormat="1" x14ac:dyDescent="0.2"/>
    <row r="263" s="502" customFormat="1" x14ac:dyDescent="0.2"/>
    <row r="264" s="502" customFormat="1" x14ac:dyDescent="0.2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0">
    <cfRule type="expression" dxfId="54" priority="13" stopIfTrue="1">
      <formula>$F$60=0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2" r:id="rId9"/>
    <hyperlink ref="F78" r:id="rId10"/>
    <hyperlink ref="F79" r:id="rId11"/>
    <hyperlink ref="F81" r:id="rId12"/>
    <hyperlink ref="F80" r:id="rId13"/>
    <hyperlink ref="F71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40625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237"/>
  <sheetViews>
    <sheetView topLeftCell="C1" zoomScaleNormal="100" workbookViewId="0">
      <pane ySplit="2" topLeftCell="A147" activePane="bottomLeft" state="frozen"/>
      <selection pane="bottomLeft" activeCell="K29" sqref="K29:K32"/>
    </sheetView>
  </sheetViews>
  <sheetFormatPr baseColWidth="10" defaultColWidth="8.7109375" defaultRowHeight="12.75" x14ac:dyDescent="0.2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 x14ac:dyDescent="0.3">
      <c r="C1" s="1265" t="s">
        <v>98</v>
      </c>
      <c r="D1" s="1265"/>
      <c r="E1" s="1265"/>
      <c r="F1" s="1265"/>
      <c r="G1" s="1265"/>
      <c r="H1" s="1265"/>
      <c r="I1" s="1265"/>
      <c r="J1" s="1265"/>
      <c r="K1" s="1265"/>
      <c r="L1" s="1265"/>
      <c r="M1" s="1265"/>
    </row>
    <row r="2" spans="1:15" s="212" customFormat="1" ht="12" x14ac:dyDescent="0.2">
      <c r="A2" s="208" t="s">
        <v>147</v>
      </c>
      <c r="B2" s="651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">
      <c r="N3" s="216"/>
    </row>
    <row r="4" spans="1:15" s="386" customFormat="1" ht="12.6" customHeight="1" x14ac:dyDescent="0.2">
      <c r="A4" s="379" t="s">
        <v>153</v>
      </c>
      <c r="B4" s="380" t="s">
        <v>421</v>
      </c>
      <c r="C4" s="381">
        <f>'Order form'!N22</f>
        <v>0</v>
      </c>
      <c r="D4" s="381" t="str">
        <f>'Order form'!D22</f>
        <v>P-96-WH</v>
      </c>
      <c r="E4" s="381" t="s">
        <v>623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10</v>
      </c>
      <c r="L4" s="384">
        <f t="shared" ref="L4:L55" si="0">C4/K4</f>
        <v>0</v>
      </c>
      <c r="M4" s="385">
        <f t="shared" ref="M4:M55" si="1">K4*H4</f>
        <v>33.879999999999995</v>
      </c>
      <c r="N4" s="381">
        <f t="shared" ref="N4:N79" si="2">IF(C4=0,N3,N3+1)</f>
        <v>0</v>
      </c>
      <c r="O4" s="1280">
        <f>SUM(G4:G17)</f>
        <v>208</v>
      </c>
    </row>
    <row r="5" spans="1:15" s="386" customFormat="1" ht="12.6" customHeight="1" x14ac:dyDescent="0.2">
      <c r="A5" s="379" t="s">
        <v>153</v>
      </c>
      <c r="B5" s="380" t="s">
        <v>421</v>
      </c>
      <c r="C5" s="381">
        <f>'Order form'!N23</f>
        <v>0</v>
      </c>
      <c r="D5" s="381" t="str">
        <f>'Order form'!D23</f>
        <v>P-96-IV</v>
      </c>
      <c r="E5" s="381" t="s">
        <v>624</v>
      </c>
      <c r="F5" s="382">
        <f>'Order form'!L23</f>
        <v>6.5</v>
      </c>
      <c r="G5" s="382">
        <f t="shared" ref="G5:G18" si="3">F5*C5</f>
        <v>0</v>
      </c>
      <c r="H5" s="383">
        <v>3.3879999999999999</v>
      </c>
      <c r="I5" s="384">
        <f t="shared" ref="I5:I17" si="4">C5*H5</f>
        <v>0</v>
      </c>
      <c r="J5" s="384" t="s">
        <v>374</v>
      </c>
      <c r="K5" s="384">
        <v>10</v>
      </c>
      <c r="L5" s="384">
        <f t="shared" si="0"/>
        <v>0</v>
      </c>
      <c r="M5" s="385">
        <f t="shared" si="1"/>
        <v>33.879999999999995</v>
      </c>
      <c r="N5" s="381">
        <f t="shared" si="2"/>
        <v>0</v>
      </c>
      <c r="O5" s="1281"/>
    </row>
    <row r="6" spans="1:15" s="386" customFormat="1" ht="12.6" customHeight="1" x14ac:dyDescent="0.2">
      <c r="A6" s="379" t="s">
        <v>153</v>
      </c>
      <c r="B6" s="380" t="s">
        <v>421</v>
      </c>
      <c r="C6" s="381">
        <f>'Order form'!N24</f>
        <v>0</v>
      </c>
      <c r="D6" s="381" t="str">
        <f>'Order form'!D24</f>
        <v>P-157-IV</v>
      </c>
      <c r="E6" s="381" t="s">
        <v>821</v>
      </c>
      <c r="F6" s="382">
        <f>'Order form'!L24</f>
        <v>8.5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804</v>
      </c>
      <c r="K6" s="384">
        <v>200</v>
      </c>
      <c r="L6" s="384">
        <f t="shared" si="0"/>
        <v>0</v>
      </c>
      <c r="M6" s="385">
        <f t="shared" si="1"/>
        <v>1113.2</v>
      </c>
      <c r="N6" s="381">
        <f t="shared" si="2"/>
        <v>0</v>
      </c>
      <c r="O6" s="1281"/>
    </row>
    <row r="7" spans="1:15" s="386" customFormat="1" ht="12.6" customHeight="1" x14ac:dyDescent="0.2">
      <c r="A7" s="379" t="s">
        <v>153</v>
      </c>
      <c r="B7" s="380" t="s">
        <v>421</v>
      </c>
      <c r="C7" s="381">
        <f>'Order form'!N25</f>
        <v>32</v>
      </c>
      <c r="D7" s="381" t="str">
        <f>'Order form'!D25</f>
        <v>P-96-BL</v>
      </c>
      <c r="E7" s="381" t="s">
        <v>625</v>
      </c>
      <c r="F7" s="382">
        <f>'Order form'!L25</f>
        <v>6.5</v>
      </c>
      <c r="G7" s="382">
        <f t="shared" si="3"/>
        <v>208</v>
      </c>
      <c r="H7" s="383">
        <v>3.3879999999999999</v>
      </c>
      <c r="I7" s="384">
        <f t="shared" si="4"/>
        <v>108.416</v>
      </c>
      <c r="J7" s="384" t="s">
        <v>374</v>
      </c>
      <c r="K7" s="384">
        <v>10</v>
      </c>
      <c r="L7" s="384">
        <f t="shared" si="0"/>
        <v>3.2</v>
      </c>
      <c r="M7" s="385">
        <f t="shared" si="1"/>
        <v>33.879999999999995</v>
      </c>
      <c r="N7" s="381">
        <f t="shared" si="2"/>
        <v>1</v>
      </c>
      <c r="O7" s="1281"/>
    </row>
    <row r="8" spans="1:15" s="386" customFormat="1" ht="12.6" customHeight="1" x14ac:dyDescent="0.2">
      <c r="A8" s="379" t="s">
        <v>153</v>
      </c>
      <c r="B8" s="380" t="s">
        <v>421</v>
      </c>
      <c r="C8" s="381">
        <f>'Order form'!N26</f>
        <v>0</v>
      </c>
      <c r="D8" s="381" t="str">
        <f>'Order form'!D26</f>
        <v>P-157-BL</v>
      </c>
      <c r="E8" s="381" t="s">
        <v>822</v>
      </c>
      <c r="F8" s="382">
        <f>'Order form'!L26</f>
        <v>8.5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804</v>
      </c>
      <c r="K8" s="384">
        <v>200</v>
      </c>
      <c r="L8" s="384">
        <f t="shared" si="0"/>
        <v>0</v>
      </c>
      <c r="M8" s="385">
        <f t="shared" si="1"/>
        <v>1113.2</v>
      </c>
      <c r="N8" s="381">
        <f t="shared" si="2"/>
        <v>1</v>
      </c>
      <c r="O8" s="1281"/>
    </row>
    <row r="9" spans="1:15" s="386" customFormat="1" ht="12.6" customHeight="1" x14ac:dyDescent="0.2">
      <c r="A9" s="379" t="s">
        <v>153</v>
      </c>
      <c r="B9" s="380" t="s">
        <v>421</v>
      </c>
      <c r="C9" s="381">
        <f>'Order form'!N27</f>
        <v>0</v>
      </c>
      <c r="D9" s="381" t="str">
        <f>'Order form'!D27</f>
        <v>P-96-GR</v>
      </c>
      <c r="E9" s="381" t="s">
        <v>626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10</v>
      </c>
      <c r="L9" s="384">
        <f t="shared" si="0"/>
        <v>0</v>
      </c>
      <c r="M9" s="385">
        <f t="shared" si="1"/>
        <v>33.879999999999995</v>
      </c>
      <c r="N9" s="381">
        <f t="shared" si="2"/>
        <v>1</v>
      </c>
      <c r="O9" s="1281"/>
    </row>
    <row r="10" spans="1:15" s="386" customFormat="1" ht="12.6" customHeight="1" x14ac:dyDescent="0.2">
      <c r="A10" s="379" t="s">
        <v>153</v>
      </c>
      <c r="B10" s="380" t="s">
        <v>421</v>
      </c>
      <c r="C10" s="381">
        <f>'Order form'!N28</f>
        <v>0</v>
      </c>
      <c r="D10" s="381" t="str">
        <f>'Order form'!D28</f>
        <v>P-96-RD</v>
      </c>
      <c r="E10" s="381" t="s">
        <v>627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10</v>
      </c>
      <c r="L10" s="384">
        <f t="shared" si="0"/>
        <v>0</v>
      </c>
      <c r="M10" s="385">
        <f t="shared" si="1"/>
        <v>33.879999999999995</v>
      </c>
      <c r="N10" s="381">
        <f t="shared" si="2"/>
        <v>1</v>
      </c>
      <c r="O10" s="1281"/>
    </row>
    <row r="11" spans="1:15" s="386" customFormat="1" ht="12.6" customHeight="1" x14ac:dyDescent="0.2">
      <c r="A11" s="379" t="s">
        <v>153</v>
      </c>
      <c r="B11" s="380" t="s">
        <v>421</v>
      </c>
      <c r="C11" s="381">
        <f>'Order form'!N29</f>
        <v>0</v>
      </c>
      <c r="D11" s="381" t="str">
        <f>'Order form'!D29</f>
        <v>P-96-OR</v>
      </c>
      <c r="E11" s="381" t="s">
        <v>628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10</v>
      </c>
      <c r="L11" s="384">
        <f t="shared" si="0"/>
        <v>0</v>
      </c>
      <c r="M11" s="385">
        <f t="shared" si="1"/>
        <v>33.879999999999995</v>
      </c>
      <c r="N11" s="381">
        <f t="shared" si="2"/>
        <v>1</v>
      </c>
      <c r="O11" s="1281"/>
    </row>
    <row r="12" spans="1:15" s="386" customFormat="1" x14ac:dyDescent="0.2">
      <c r="A12" s="379" t="s">
        <v>153</v>
      </c>
      <c r="B12" s="380" t="s">
        <v>421</v>
      </c>
      <c r="C12" s="381">
        <f>'Order form'!N30</f>
        <v>0</v>
      </c>
      <c r="D12" s="381" t="str">
        <f>'Order form'!D30</f>
        <v>EP-96-BK</v>
      </c>
      <c r="E12" s="381" t="s">
        <v>629</v>
      </c>
      <c r="F12" s="382">
        <f>'Order form'!L30</f>
        <v>7.3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10</v>
      </c>
      <c r="L12" s="384">
        <f t="shared" si="0"/>
        <v>0</v>
      </c>
      <c r="M12" s="385">
        <f t="shared" si="1"/>
        <v>33.879999999999995</v>
      </c>
      <c r="N12" s="381">
        <f t="shared" si="2"/>
        <v>1</v>
      </c>
      <c r="O12" s="1281"/>
    </row>
    <row r="13" spans="1:15" s="386" customFormat="1" x14ac:dyDescent="0.2">
      <c r="A13" s="379" t="s">
        <v>153</v>
      </c>
      <c r="B13" s="380" t="s">
        <v>421</v>
      </c>
      <c r="C13" s="381">
        <f>'Order form'!N31</f>
        <v>0</v>
      </c>
      <c r="D13" s="381" t="str">
        <f>'Order form'!D31</f>
        <v>EP-157-BK</v>
      </c>
      <c r="E13" s="381" t="s">
        <v>823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804</v>
      </c>
      <c r="K13" s="384">
        <v>200</v>
      </c>
      <c r="L13" s="384">
        <f t="shared" si="0"/>
        <v>0</v>
      </c>
      <c r="M13" s="385">
        <f t="shared" si="1"/>
        <v>1113.2</v>
      </c>
      <c r="N13" s="381">
        <f t="shared" si="2"/>
        <v>1</v>
      </c>
      <c r="O13" s="1281"/>
    </row>
    <row r="14" spans="1:15" s="386" customFormat="1" x14ac:dyDescent="0.2">
      <c r="A14" s="379" t="s">
        <v>153</v>
      </c>
      <c r="B14" s="380" t="s">
        <v>421</v>
      </c>
      <c r="C14" s="381">
        <f>'Order form'!N32</f>
        <v>0</v>
      </c>
      <c r="D14" s="381" t="str">
        <f>'Order form'!D32</f>
        <v>EP-96-ST</v>
      </c>
      <c r="E14" s="381" t="s">
        <v>630</v>
      </c>
      <c r="F14" s="382">
        <f>'Order form'!L32</f>
        <v>8</v>
      </c>
      <c r="G14" s="382">
        <f t="shared" si="3"/>
        <v>0</v>
      </c>
      <c r="H14" s="383">
        <v>2.508</v>
      </c>
      <c r="I14" s="384">
        <f t="shared" si="4"/>
        <v>0</v>
      </c>
      <c r="J14" s="384" t="s">
        <v>374</v>
      </c>
      <c r="K14" s="384">
        <v>8</v>
      </c>
      <c r="L14" s="384">
        <f t="shared" si="0"/>
        <v>0</v>
      </c>
      <c r="M14" s="385">
        <f t="shared" si="1"/>
        <v>20.064</v>
      </c>
      <c r="N14" s="381">
        <f t="shared" si="2"/>
        <v>1</v>
      </c>
      <c r="O14" s="1281"/>
    </row>
    <row r="15" spans="1:15" s="386" customFormat="1" x14ac:dyDescent="0.2">
      <c r="A15" s="379" t="s">
        <v>153</v>
      </c>
      <c r="B15" s="380" t="s">
        <v>421</v>
      </c>
      <c r="C15" s="381">
        <f>'Order form'!N33</f>
        <v>0</v>
      </c>
      <c r="D15" s="381" t="str">
        <f>'Order form'!D33</f>
        <v>SP-96-BL</v>
      </c>
      <c r="E15" s="381" t="s">
        <v>631</v>
      </c>
      <c r="F15" s="382">
        <f>'Order form'!L33</f>
        <v>9.85</v>
      </c>
      <c r="G15" s="382">
        <f t="shared" si="3"/>
        <v>0</v>
      </c>
      <c r="H15" s="383">
        <v>6.49</v>
      </c>
      <c r="I15" s="384">
        <f t="shared" si="4"/>
        <v>0</v>
      </c>
      <c r="J15" s="384" t="s">
        <v>374</v>
      </c>
      <c r="K15" s="384">
        <v>8</v>
      </c>
      <c r="L15" s="384">
        <f t="shared" si="0"/>
        <v>0</v>
      </c>
      <c r="M15" s="385">
        <f t="shared" si="1"/>
        <v>51.92</v>
      </c>
      <c r="N15" s="381">
        <f t="shared" si="2"/>
        <v>1</v>
      </c>
      <c r="O15" s="1281"/>
    </row>
    <row r="16" spans="1:15" s="386" customFormat="1" x14ac:dyDescent="0.2">
      <c r="A16" s="379" t="s">
        <v>153</v>
      </c>
      <c r="B16" s="380" t="s">
        <v>421</v>
      </c>
      <c r="C16" s="381">
        <f>'Order form'!N35</f>
        <v>0</v>
      </c>
      <c r="D16" s="381" t="str">
        <f>'Order form'!D35:F35</f>
        <v>P-96-YW</v>
      </c>
      <c r="E16" s="381" t="s">
        <v>820</v>
      </c>
      <c r="F16" s="382">
        <f>'Order form'!L35</f>
        <v>6.5</v>
      </c>
      <c r="G16" s="382">
        <f t="shared" si="3"/>
        <v>0</v>
      </c>
      <c r="H16" s="383">
        <v>5.5659999999999998</v>
      </c>
      <c r="I16" s="384">
        <f t="shared" si="4"/>
        <v>0</v>
      </c>
      <c r="J16" s="384" t="s">
        <v>374</v>
      </c>
      <c r="K16" s="384">
        <v>10</v>
      </c>
      <c r="L16" s="384">
        <f t="shared" si="0"/>
        <v>0</v>
      </c>
      <c r="M16" s="385">
        <f t="shared" si="1"/>
        <v>55.66</v>
      </c>
      <c r="N16" s="381">
        <f t="shared" si="2"/>
        <v>1</v>
      </c>
      <c r="O16" s="1281"/>
    </row>
    <row r="17" spans="1:15" s="386" customFormat="1" x14ac:dyDescent="0.2">
      <c r="A17" s="379" t="s">
        <v>153</v>
      </c>
      <c r="B17" s="380" t="s">
        <v>421</v>
      </c>
      <c r="C17" s="381">
        <f>'Order form'!N34</f>
        <v>0</v>
      </c>
      <c r="D17" s="381" t="str">
        <f>'Order form'!D34</f>
        <v>P-157-AP</v>
      </c>
      <c r="E17" s="381" t="s">
        <v>824</v>
      </c>
      <c r="F17" s="382">
        <f>'Order form'!L34</f>
        <v>8.5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804</v>
      </c>
      <c r="K17" s="384">
        <v>200</v>
      </c>
      <c r="L17" s="384">
        <f t="shared" si="0"/>
        <v>0</v>
      </c>
      <c r="M17" s="385">
        <f t="shared" si="1"/>
        <v>1113.2</v>
      </c>
      <c r="N17" s="381">
        <f t="shared" si="2"/>
        <v>1</v>
      </c>
      <c r="O17" s="1281"/>
    </row>
    <row r="18" spans="1:15" s="649" customFormat="1" ht="12.6" customHeight="1" x14ac:dyDescent="0.2">
      <c r="A18" s="646" t="s">
        <v>153</v>
      </c>
      <c r="B18" s="647" t="s">
        <v>158</v>
      </c>
      <c r="C18" s="650">
        <f>'Order form'!F47</f>
        <v>0</v>
      </c>
      <c r="D18" s="645" t="str">
        <f>'Order form'!D45</f>
        <v>R40-RT96</v>
      </c>
      <c r="E18" s="645" t="s">
        <v>292</v>
      </c>
      <c r="F18" s="217">
        <f>'Order form'!D47</f>
        <v>18.5</v>
      </c>
      <c r="G18" s="680">
        <f t="shared" si="3"/>
        <v>0</v>
      </c>
      <c r="H18" s="218">
        <v>5.984</v>
      </c>
      <c r="I18" s="219">
        <f t="shared" ref="I18:I139" si="5">C18*H18</f>
        <v>0</v>
      </c>
      <c r="J18" s="219" t="s">
        <v>374</v>
      </c>
      <c r="K18" s="219">
        <f>'Order form'!G48</f>
        <v>6</v>
      </c>
      <c r="L18" s="219">
        <f t="shared" si="0"/>
        <v>0</v>
      </c>
      <c r="M18" s="648">
        <f t="shared" si="1"/>
        <v>35.903999999999996</v>
      </c>
      <c r="N18" s="381">
        <f t="shared" si="2"/>
        <v>1</v>
      </c>
      <c r="O18" s="1259">
        <f>SUM(G18:G32)</f>
        <v>0</v>
      </c>
    </row>
    <row r="19" spans="1:15" s="649" customFormat="1" x14ac:dyDescent="0.2">
      <c r="A19" s="646" t="s">
        <v>153</v>
      </c>
      <c r="B19" s="647" t="s">
        <v>158</v>
      </c>
      <c r="C19" s="650">
        <f>'Order form'!K47</f>
        <v>0</v>
      </c>
      <c r="D19" s="645" t="str">
        <f>'Order form'!I45</f>
        <v>R40-MS</v>
      </c>
      <c r="E19" s="645" t="s">
        <v>633</v>
      </c>
      <c r="F19" s="217">
        <f>'Order form'!I47</f>
        <v>1.4</v>
      </c>
      <c r="G19" s="217">
        <f t="shared" ref="G19:G80" si="6">F19*C19</f>
        <v>0</v>
      </c>
      <c r="H19" s="218">
        <v>0.34100000000000003</v>
      </c>
      <c r="I19" s="219">
        <f t="shared" si="5"/>
        <v>0</v>
      </c>
      <c r="J19" s="219" t="s">
        <v>22</v>
      </c>
      <c r="K19" s="219">
        <f>'Order form'!L48</f>
        <v>30</v>
      </c>
      <c r="L19" s="219">
        <f t="shared" si="0"/>
        <v>0</v>
      </c>
      <c r="M19" s="648">
        <f t="shared" si="1"/>
        <v>10.23</v>
      </c>
      <c r="N19" s="381">
        <f t="shared" si="2"/>
        <v>1</v>
      </c>
      <c r="O19" s="1260"/>
    </row>
    <row r="20" spans="1:15" s="649" customFormat="1" x14ac:dyDescent="0.2">
      <c r="A20" s="646" t="s">
        <v>153</v>
      </c>
      <c r="B20" s="647" t="s">
        <v>158</v>
      </c>
      <c r="C20" s="650">
        <f>'Order form'!P47</f>
        <v>0</v>
      </c>
      <c r="D20" s="645" t="str">
        <f>'Order form'!N45</f>
        <v>R40-TS</v>
      </c>
      <c r="E20" s="645" t="s">
        <v>634</v>
      </c>
      <c r="F20" s="217">
        <f>'Order form'!N47</f>
        <v>1.7</v>
      </c>
      <c r="G20" s="217">
        <f t="shared" si="6"/>
        <v>0</v>
      </c>
      <c r="H20" s="218">
        <v>0.44</v>
      </c>
      <c r="I20" s="219">
        <f t="shared" si="5"/>
        <v>0</v>
      </c>
      <c r="J20" s="219" t="s">
        <v>22</v>
      </c>
      <c r="K20" s="219">
        <f>'Order form'!Q48</f>
        <v>30</v>
      </c>
      <c r="L20" s="219">
        <f t="shared" si="0"/>
        <v>0</v>
      </c>
      <c r="M20" s="648">
        <f t="shared" si="1"/>
        <v>13.2</v>
      </c>
      <c r="N20" s="381">
        <f t="shared" si="2"/>
        <v>1</v>
      </c>
      <c r="O20" s="1260"/>
    </row>
    <row r="21" spans="1:15" s="649" customFormat="1" x14ac:dyDescent="0.2">
      <c r="A21" s="646" t="s">
        <v>153</v>
      </c>
      <c r="B21" s="647" t="s">
        <v>158</v>
      </c>
      <c r="C21" s="650">
        <f>'Order form'!F57</f>
        <v>0</v>
      </c>
      <c r="D21" s="645" t="str">
        <f>'Order form'!D55</f>
        <v>R40-TU</v>
      </c>
      <c r="E21" s="645" t="s">
        <v>635</v>
      </c>
      <c r="F21" s="217">
        <f>'Order form'!D57</f>
        <v>2.75</v>
      </c>
      <c r="G21" s="217">
        <f t="shared" si="6"/>
        <v>0</v>
      </c>
      <c r="H21" s="218">
        <v>0.60499999999999998</v>
      </c>
      <c r="I21" s="219">
        <f t="shared" si="5"/>
        <v>0</v>
      </c>
      <c r="J21" s="219" t="s">
        <v>22</v>
      </c>
      <c r="K21" s="219">
        <f>'Order form'!G58</f>
        <v>20</v>
      </c>
      <c r="L21" s="219">
        <f t="shared" si="0"/>
        <v>0</v>
      </c>
      <c r="M21" s="648">
        <f t="shared" si="1"/>
        <v>12.1</v>
      </c>
      <c r="N21" s="381">
        <f t="shared" si="2"/>
        <v>1</v>
      </c>
      <c r="O21" s="1260"/>
    </row>
    <row r="22" spans="1:15" s="649" customFormat="1" x14ac:dyDescent="0.2">
      <c r="A22" s="646" t="s">
        <v>153</v>
      </c>
      <c r="B22" s="647" t="s">
        <v>158</v>
      </c>
      <c r="C22" s="650">
        <f>'Order form'!U47</f>
        <v>0</v>
      </c>
      <c r="D22" s="645" t="str">
        <f>'Order form'!S45</f>
        <v>R40-DS</v>
      </c>
      <c r="E22" s="645" t="s">
        <v>636</v>
      </c>
      <c r="F22" s="217">
        <f>'Order form'!S47</f>
        <v>1.7</v>
      </c>
      <c r="G22" s="217">
        <f t="shared" si="6"/>
        <v>0</v>
      </c>
      <c r="H22" s="218">
        <v>0.40150000000000002</v>
      </c>
      <c r="I22" s="219">
        <f t="shared" si="5"/>
        <v>0</v>
      </c>
      <c r="J22" s="219" t="s">
        <v>22</v>
      </c>
      <c r="K22" s="219">
        <f>'Order form'!V48</f>
        <v>25</v>
      </c>
      <c r="L22" s="219">
        <f t="shared" si="0"/>
        <v>0</v>
      </c>
      <c r="M22" s="648">
        <f t="shared" si="1"/>
        <v>10.037500000000001</v>
      </c>
      <c r="N22" s="381">
        <f t="shared" si="2"/>
        <v>1</v>
      </c>
      <c r="O22" s="1260"/>
    </row>
    <row r="23" spans="1:15" s="649" customFormat="1" x14ac:dyDescent="0.2">
      <c r="A23" s="646" t="s">
        <v>153</v>
      </c>
      <c r="B23" s="647" t="s">
        <v>158</v>
      </c>
      <c r="C23" s="650">
        <f>'Order form'!Z47</f>
        <v>0</v>
      </c>
      <c r="D23" s="645" t="str">
        <f>'Order form'!X45</f>
        <v>R40-TC</v>
      </c>
      <c r="E23" s="645" t="s">
        <v>637</v>
      </c>
      <c r="F23" s="217">
        <f>'Order form'!X47</f>
        <v>1.9</v>
      </c>
      <c r="G23" s="217">
        <f t="shared" si="6"/>
        <v>0</v>
      </c>
      <c r="H23" s="218">
        <v>0.34100000000000003</v>
      </c>
      <c r="I23" s="219">
        <f t="shared" si="5"/>
        <v>0</v>
      </c>
      <c r="J23" s="219" t="s">
        <v>22</v>
      </c>
      <c r="K23" s="219">
        <f>'Order form'!AA48</f>
        <v>40</v>
      </c>
      <c r="L23" s="219">
        <f t="shared" si="0"/>
        <v>0</v>
      </c>
      <c r="M23" s="648">
        <f t="shared" si="1"/>
        <v>13.64</v>
      </c>
      <c r="N23" s="381">
        <f t="shared" si="2"/>
        <v>1</v>
      </c>
      <c r="O23" s="1260"/>
    </row>
    <row r="24" spans="1:15" s="649" customFormat="1" x14ac:dyDescent="0.2">
      <c r="A24" s="646" t="s">
        <v>153</v>
      </c>
      <c r="B24" s="647" t="s">
        <v>158</v>
      </c>
      <c r="C24" s="650">
        <f>'Order form'!K57</f>
        <v>0</v>
      </c>
      <c r="D24" s="645" t="str">
        <f>'Order form'!I55</f>
        <v>R40-CS</v>
      </c>
      <c r="E24" s="645" t="s">
        <v>638</v>
      </c>
      <c r="F24" s="217">
        <f>'Order form'!I57</f>
        <v>2.25</v>
      </c>
      <c r="G24" s="217">
        <f t="shared" si="6"/>
        <v>0</v>
      </c>
      <c r="H24" s="218">
        <v>1.76</v>
      </c>
      <c r="I24" s="219">
        <f t="shared" si="5"/>
        <v>0</v>
      </c>
      <c r="J24" s="219" t="s">
        <v>22</v>
      </c>
      <c r="K24" s="219">
        <f>'Order form'!L58</f>
        <v>20</v>
      </c>
      <c r="L24" s="219">
        <f t="shared" si="0"/>
        <v>0</v>
      </c>
      <c r="M24" s="648">
        <f t="shared" si="1"/>
        <v>35.200000000000003</v>
      </c>
      <c r="N24" s="381">
        <f t="shared" si="2"/>
        <v>1</v>
      </c>
      <c r="O24" s="1260"/>
    </row>
    <row r="25" spans="1:15" s="649" customFormat="1" x14ac:dyDescent="0.2">
      <c r="A25" s="646" t="s">
        <v>153</v>
      </c>
      <c r="B25" s="647" t="s">
        <v>158</v>
      </c>
      <c r="C25" s="650">
        <f>'Order form'!P57</f>
        <v>0</v>
      </c>
      <c r="D25" s="645" t="str">
        <f>'Order form'!N55</f>
        <v>R40-SLOW</v>
      </c>
      <c r="E25" s="645" t="s">
        <v>632</v>
      </c>
      <c r="F25" s="217">
        <f>'Order form'!N57</f>
        <v>1.5</v>
      </c>
      <c r="G25" s="217">
        <f t="shared" si="6"/>
        <v>0</v>
      </c>
      <c r="H25" s="218">
        <v>3.1899999999999998E-2</v>
      </c>
      <c r="I25" s="219">
        <f t="shared" si="5"/>
        <v>0</v>
      </c>
      <c r="J25" s="219" t="s">
        <v>22</v>
      </c>
      <c r="K25" s="219">
        <f>'Order form'!Q58</f>
        <v>150</v>
      </c>
      <c r="L25" s="219">
        <f t="shared" si="0"/>
        <v>0</v>
      </c>
      <c r="M25" s="648">
        <f t="shared" si="1"/>
        <v>4.7849999999999993</v>
      </c>
      <c r="N25" s="381">
        <f t="shared" si="2"/>
        <v>1</v>
      </c>
      <c r="O25" s="1260"/>
    </row>
    <row r="26" spans="1:15" s="649" customFormat="1" x14ac:dyDescent="0.2">
      <c r="A26" s="646" t="s">
        <v>153</v>
      </c>
      <c r="B26" s="647" t="s">
        <v>158</v>
      </c>
      <c r="C26" s="650">
        <f>'Order form'!U57</f>
        <v>0</v>
      </c>
      <c r="D26" s="645" t="str">
        <f>'Order form'!S55</f>
        <v>R40-CGUIDE</v>
      </c>
      <c r="E26" s="645" t="s">
        <v>832</v>
      </c>
      <c r="F26" s="217">
        <f>'Order form'!S57</f>
        <v>18</v>
      </c>
      <c r="G26" s="217">
        <f t="shared" si="6"/>
        <v>0</v>
      </c>
      <c r="H26" s="218">
        <v>5.5</v>
      </c>
      <c r="I26" s="219">
        <f t="shared" si="5"/>
        <v>0</v>
      </c>
      <c r="J26" s="219" t="s">
        <v>374</v>
      </c>
      <c r="K26" s="219">
        <f>'Order form'!V58</f>
        <v>6</v>
      </c>
      <c r="L26" s="219">
        <f t="shared" si="0"/>
        <v>0</v>
      </c>
      <c r="M26" s="648">
        <f t="shared" si="1"/>
        <v>33</v>
      </c>
      <c r="N26" s="381">
        <f t="shared" si="2"/>
        <v>1</v>
      </c>
      <c r="O26" s="1260"/>
    </row>
    <row r="27" spans="1:15" s="649" customFormat="1" x14ac:dyDescent="0.2">
      <c r="A27" s="646" t="s">
        <v>153</v>
      </c>
      <c r="B27" s="647" t="s">
        <v>158</v>
      </c>
      <c r="C27" s="650">
        <f>'Order form'!Z57</f>
        <v>0</v>
      </c>
      <c r="D27" s="645" t="str">
        <f>'Order form'!X55</f>
        <v>R40-GUIDE</v>
      </c>
      <c r="E27" s="645" t="s">
        <v>831</v>
      </c>
      <c r="F27" s="217">
        <f>'Order form'!X57</f>
        <v>18.5</v>
      </c>
      <c r="G27" s="217">
        <f t="shared" si="6"/>
        <v>0</v>
      </c>
      <c r="H27" s="218">
        <v>6.1379999999999999</v>
      </c>
      <c r="I27" s="219">
        <f t="shared" si="5"/>
        <v>0</v>
      </c>
      <c r="J27" s="219" t="s">
        <v>374</v>
      </c>
      <c r="K27" s="219">
        <f>'Order form'!AA58</f>
        <v>6</v>
      </c>
      <c r="L27" s="219">
        <f t="shared" si="0"/>
        <v>0</v>
      </c>
      <c r="M27" s="648">
        <f t="shared" si="1"/>
        <v>36.828000000000003</v>
      </c>
      <c r="N27" s="381">
        <f t="shared" si="2"/>
        <v>1</v>
      </c>
      <c r="O27" s="1260"/>
    </row>
    <row r="28" spans="1:15" s="649" customFormat="1" x14ac:dyDescent="0.2">
      <c r="A28" s="646" t="s">
        <v>153</v>
      </c>
      <c r="B28" s="647" t="s">
        <v>158</v>
      </c>
      <c r="C28" s="650">
        <f>'Order form'!F67</f>
        <v>0</v>
      </c>
      <c r="D28" s="645" t="str">
        <f>'Order form'!D65</f>
        <v>R40-SGUIDE</v>
      </c>
      <c r="E28" s="645" t="s">
        <v>830</v>
      </c>
      <c r="F28" s="217">
        <f>'Order form'!D67</f>
        <v>19</v>
      </c>
      <c r="G28" s="217">
        <f t="shared" si="6"/>
        <v>0</v>
      </c>
      <c r="H28" s="218">
        <v>11.62</v>
      </c>
      <c r="I28" s="219">
        <f t="shared" si="5"/>
        <v>0</v>
      </c>
      <c r="J28" s="219" t="s">
        <v>374</v>
      </c>
      <c r="K28" s="219">
        <v>6</v>
      </c>
      <c r="L28" s="219">
        <f t="shared" si="0"/>
        <v>0</v>
      </c>
      <c r="M28" s="648">
        <f t="shared" si="1"/>
        <v>69.72</v>
      </c>
      <c r="N28" s="381">
        <f t="shared" si="2"/>
        <v>1</v>
      </c>
      <c r="O28" s="1260"/>
    </row>
    <row r="29" spans="1:15" s="649" customFormat="1" x14ac:dyDescent="0.2">
      <c r="A29" s="646" t="s">
        <v>153</v>
      </c>
      <c r="B29" s="647" t="s">
        <v>158</v>
      </c>
      <c r="C29" s="650">
        <f>'Order form'!F79</f>
        <v>0</v>
      </c>
      <c r="D29" s="645" t="str">
        <f>'Order form'!D77</f>
        <v>R85-RT96</v>
      </c>
      <c r="E29" s="645" t="str">
        <f>'Order form'!D78</f>
        <v>8' Steel roller track (ESD)</v>
      </c>
      <c r="F29" s="217">
        <f>'Order form'!D79</f>
        <v>40</v>
      </c>
      <c r="G29" s="217">
        <f t="shared" si="6"/>
        <v>0</v>
      </c>
      <c r="H29" s="760">
        <v>10.78</v>
      </c>
      <c r="I29" s="219">
        <f t="shared" si="5"/>
        <v>0</v>
      </c>
      <c r="J29" s="219" t="s">
        <v>374</v>
      </c>
      <c r="K29" s="219">
        <v>4</v>
      </c>
      <c r="L29" s="219">
        <f t="shared" si="0"/>
        <v>0</v>
      </c>
      <c r="M29" s="648">
        <f t="shared" si="1"/>
        <v>43.12</v>
      </c>
      <c r="N29" s="381">
        <f t="shared" si="2"/>
        <v>1</v>
      </c>
      <c r="O29" s="1260"/>
    </row>
    <row r="30" spans="1:15" s="649" customFormat="1" x14ac:dyDescent="0.2">
      <c r="A30" s="646" t="s">
        <v>153</v>
      </c>
      <c r="B30" s="647" t="s">
        <v>158</v>
      </c>
      <c r="C30" s="650">
        <f>'Order form'!K79</f>
        <v>0</v>
      </c>
      <c r="D30" s="645" t="str">
        <f>'Order form'!I77</f>
        <v>R85-MS</v>
      </c>
      <c r="E30" s="645" t="str">
        <f>'Order form'!I78</f>
        <v>Track mount start</v>
      </c>
      <c r="F30" s="217">
        <f>'Order form'!I79</f>
        <v>3.5</v>
      </c>
      <c r="G30" s="217">
        <f t="shared" si="6"/>
        <v>0</v>
      </c>
      <c r="H30" s="760">
        <v>0.46200000000000002</v>
      </c>
      <c r="I30" s="219">
        <f t="shared" si="5"/>
        <v>0</v>
      </c>
      <c r="J30" s="219" t="s">
        <v>22</v>
      </c>
      <c r="K30" s="710">
        <v>15</v>
      </c>
      <c r="L30" s="219">
        <f t="shared" si="0"/>
        <v>0</v>
      </c>
      <c r="M30" s="648">
        <f t="shared" si="1"/>
        <v>6.9300000000000006</v>
      </c>
      <c r="N30" s="381">
        <f t="shared" si="2"/>
        <v>1</v>
      </c>
      <c r="O30" s="1260"/>
    </row>
    <row r="31" spans="1:15" s="649" customFormat="1" x14ac:dyDescent="0.2">
      <c r="A31" s="646" t="s">
        <v>153</v>
      </c>
      <c r="B31" s="647" t="s">
        <v>158</v>
      </c>
      <c r="C31" s="650">
        <f>'Order form'!P79</f>
        <v>0</v>
      </c>
      <c r="D31" s="645" t="str">
        <f>'Order form'!N77</f>
        <v>R85-TS</v>
      </c>
      <c r="E31" s="645" t="str">
        <f>'Order form'!N78</f>
        <v>Track mount tab stop</v>
      </c>
      <c r="F31" s="217">
        <f>'Order form'!N79</f>
        <v>3.7</v>
      </c>
      <c r="G31" s="217">
        <f t="shared" si="6"/>
        <v>0</v>
      </c>
      <c r="H31" s="760">
        <v>0.44</v>
      </c>
      <c r="I31" s="219">
        <f t="shared" si="5"/>
        <v>0</v>
      </c>
      <c r="J31" s="219" t="s">
        <v>22</v>
      </c>
      <c r="K31" s="710">
        <v>15</v>
      </c>
      <c r="L31" s="219">
        <f t="shared" si="0"/>
        <v>0</v>
      </c>
      <c r="M31" s="648">
        <f t="shared" si="1"/>
        <v>6.6</v>
      </c>
      <c r="N31" s="381">
        <f t="shared" si="2"/>
        <v>1</v>
      </c>
      <c r="O31" s="1260"/>
    </row>
    <row r="32" spans="1:15" s="649" customFormat="1" x14ac:dyDescent="0.2">
      <c r="A32" s="646" t="s">
        <v>153</v>
      </c>
      <c r="B32" s="647" t="s">
        <v>158</v>
      </c>
      <c r="C32" s="650">
        <f>'Order form'!U79</f>
        <v>0</v>
      </c>
      <c r="D32" s="645" t="str">
        <f>'Order form'!S77</f>
        <v>R85-CS</v>
      </c>
      <c r="E32" s="645" t="str">
        <f>'Order form'!S78</f>
        <v>Track mount stabilizer</v>
      </c>
      <c r="F32" s="217">
        <f>'Order form'!S79</f>
        <v>3</v>
      </c>
      <c r="G32" s="217">
        <f t="shared" si="6"/>
        <v>0</v>
      </c>
      <c r="H32" s="760">
        <v>0.55000000000000004</v>
      </c>
      <c r="I32" s="219">
        <f t="shared" si="5"/>
        <v>0</v>
      </c>
      <c r="J32" s="219" t="s">
        <v>22</v>
      </c>
      <c r="K32" s="710">
        <v>28</v>
      </c>
      <c r="L32" s="219">
        <f t="shared" si="0"/>
        <v>0</v>
      </c>
      <c r="M32" s="648">
        <f t="shared" si="1"/>
        <v>15.400000000000002</v>
      </c>
      <c r="N32" s="381">
        <f t="shared" si="2"/>
        <v>1</v>
      </c>
      <c r="O32" s="1261"/>
    </row>
    <row r="33" spans="1:31" s="386" customFormat="1" ht="12.6" customHeight="1" x14ac:dyDescent="0.2">
      <c r="A33" s="694" t="s">
        <v>153</v>
      </c>
      <c r="B33" s="695" t="s">
        <v>156</v>
      </c>
      <c r="C33" s="693">
        <f>'Order form'!F145*2+'Order form'!F91</f>
        <v>80</v>
      </c>
      <c r="D33" s="693" t="str">
        <f>'Order form'!D90</f>
        <v>H-1</v>
      </c>
      <c r="E33" s="693" t="s">
        <v>639</v>
      </c>
      <c r="F33" s="696">
        <f>'Order form'!D91</f>
        <v>0.55000000000000004</v>
      </c>
      <c r="G33" s="696">
        <f t="shared" si="6"/>
        <v>44</v>
      </c>
      <c r="H33" s="697">
        <v>0.1474</v>
      </c>
      <c r="I33" s="698">
        <f t="shared" si="5"/>
        <v>11.792</v>
      </c>
      <c r="J33" s="698" t="s">
        <v>22</v>
      </c>
      <c r="K33" s="698">
        <f>'Order form'!G92</f>
        <v>225</v>
      </c>
      <c r="L33" s="698">
        <f t="shared" si="0"/>
        <v>0.35555555555555557</v>
      </c>
      <c r="M33" s="699">
        <f t="shared" si="1"/>
        <v>33.164999999999999</v>
      </c>
      <c r="N33" s="381">
        <f t="shared" si="2"/>
        <v>2</v>
      </c>
      <c r="O33" s="1277">
        <f>SUM(G33:G74)</f>
        <v>131.57999999999998</v>
      </c>
      <c r="Q33" s="388"/>
      <c r="R33" s="389"/>
      <c r="S33" s="389"/>
      <c r="T33" s="389"/>
      <c r="U33" s="390"/>
      <c r="V33" s="389"/>
      <c r="W33" s="389"/>
      <c r="X33" s="391"/>
      <c r="Y33" s="391"/>
      <c r="Z33" s="389"/>
      <c r="AA33" s="389"/>
      <c r="AB33" s="389"/>
      <c r="AC33" s="389"/>
      <c r="AD33" s="389"/>
      <c r="AE33" s="389"/>
    </row>
    <row r="34" spans="1:31" s="386" customFormat="1" ht="12.4" customHeight="1" x14ac:dyDescent="0.2">
      <c r="A34" s="694" t="s">
        <v>153</v>
      </c>
      <c r="B34" s="695" t="s">
        <v>156</v>
      </c>
      <c r="C34" s="693">
        <f>'Order form'!K91+('Order form'!K145*1)+('Order form'!P145*2)+('Order form'!Z145*4)</f>
        <v>44</v>
      </c>
      <c r="D34" s="693" t="str">
        <f>'Order form'!I90</f>
        <v>H-2</v>
      </c>
      <c r="E34" s="693" t="s">
        <v>640</v>
      </c>
      <c r="F34" s="696">
        <f>'Order form'!I91</f>
        <v>0.92</v>
      </c>
      <c r="G34" s="696">
        <f t="shared" si="6"/>
        <v>40.480000000000004</v>
      </c>
      <c r="H34" s="697">
        <v>0.20680000000000001</v>
      </c>
      <c r="I34" s="698">
        <f t="shared" si="5"/>
        <v>9.0991999999999997</v>
      </c>
      <c r="J34" s="698" t="s">
        <v>22</v>
      </c>
      <c r="K34" s="698">
        <f>'Order form'!L92</f>
        <v>150</v>
      </c>
      <c r="L34" s="698">
        <f t="shared" si="0"/>
        <v>0.29333333333333333</v>
      </c>
      <c r="M34" s="699">
        <f t="shared" si="1"/>
        <v>31.020000000000003</v>
      </c>
      <c r="N34" s="381">
        <f t="shared" si="2"/>
        <v>3</v>
      </c>
      <c r="O34" s="1278"/>
    </row>
    <row r="35" spans="1:31" s="386" customFormat="1" ht="12.4" customHeight="1" x14ac:dyDescent="0.2">
      <c r="A35" s="694" t="s">
        <v>153</v>
      </c>
      <c r="B35" s="695" t="s">
        <v>156</v>
      </c>
      <c r="C35" s="693">
        <f>'Order form'!P91+('Order form'!K145*1)</f>
        <v>40</v>
      </c>
      <c r="D35" s="693" t="str">
        <f>'Order form'!N90</f>
        <v>H-3</v>
      </c>
      <c r="E35" s="693" t="s">
        <v>641</v>
      </c>
      <c r="F35" s="696">
        <f>'Order form'!N91</f>
        <v>0.95</v>
      </c>
      <c r="G35" s="696">
        <f t="shared" si="6"/>
        <v>38</v>
      </c>
      <c r="H35" s="697">
        <v>0.26400000000000001</v>
      </c>
      <c r="I35" s="698">
        <f t="shared" si="5"/>
        <v>10.56</v>
      </c>
      <c r="J35" s="698" t="s">
        <v>22</v>
      </c>
      <c r="K35" s="698">
        <f>'Order form'!Q92</f>
        <v>60</v>
      </c>
      <c r="L35" s="698">
        <f t="shared" si="0"/>
        <v>0.66666666666666663</v>
      </c>
      <c r="M35" s="699">
        <f t="shared" si="1"/>
        <v>15.84</v>
      </c>
      <c r="N35" s="381">
        <f t="shared" si="2"/>
        <v>4</v>
      </c>
      <c r="O35" s="1278"/>
    </row>
    <row r="36" spans="1:31" s="386" customFormat="1" ht="12.4" customHeight="1" x14ac:dyDescent="0.2">
      <c r="A36" s="694" t="s">
        <v>153</v>
      </c>
      <c r="B36" s="695" t="s">
        <v>156</v>
      </c>
      <c r="C36" s="693">
        <f>'Order form'!U91+('Order form'!P145*1)+('Order form'!U145*2)</f>
        <v>6</v>
      </c>
      <c r="D36" s="693" t="str">
        <f>'Order form'!S90</f>
        <v>H-4</v>
      </c>
      <c r="E36" s="693" t="s">
        <v>642</v>
      </c>
      <c r="F36" s="696">
        <f>'Order form'!S91</f>
        <v>0.85</v>
      </c>
      <c r="G36" s="696">
        <f t="shared" si="6"/>
        <v>5.0999999999999996</v>
      </c>
      <c r="H36" s="697">
        <v>0.23320000000000002</v>
      </c>
      <c r="I36" s="698">
        <f t="shared" si="5"/>
        <v>1.3992</v>
      </c>
      <c r="J36" s="698" t="s">
        <v>22</v>
      </c>
      <c r="K36" s="698">
        <f>'Order form'!V92</f>
        <v>150</v>
      </c>
      <c r="L36" s="698">
        <f t="shared" si="0"/>
        <v>0.04</v>
      </c>
      <c r="M36" s="699">
        <f t="shared" si="1"/>
        <v>34.980000000000004</v>
      </c>
      <c r="N36" s="381">
        <f t="shared" si="2"/>
        <v>5</v>
      </c>
      <c r="O36" s="1278"/>
    </row>
    <row r="37" spans="1:31" s="386" customFormat="1" ht="12.4" customHeight="1" x14ac:dyDescent="0.2">
      <c r="A37" s="694" t="s">
        <v>153</v>
      </c>
      <c r="B37" s="695" t="s">
        <v>156</v>
      </c>
      <c r="C37" s="693">
        <f>'Order form'!Z91+('Order form'!F156*2)</f>
        <v>4</v>
      </c>
      <c r="D37" s="693" t="str">
        <f>'Order form'!X90</f>
        <v>H-5</v>
      </c>
      <c r="E37" s="693" t="s">
        <v>643</v>
      </c>
      <c r="F37" s="696">
        <f>'Order form'!X91</f>
        <v>0.5</v>
      </c>
      <c r="G37" s="696">
        <f t="shared" si="6"/>
        <v>2</v>
      </c>
      <c r="H37" s="697">
        <v>9.9000000000000005E-2</v>
      </c>
      <c r="I37" s="698">
        <f t="shared" si="5"/>
        <v>0.39600000000000002</v>
      </c>
      <c r="J37" s="698" t="s">
        <v>22</v>
      </c>
      <c r="K37" s="698">
        <f>'Order form'!AA92</f>
        <v>225</v>
      </c>
      <c r="L37" s="698">
        <f t="shared" si="0"/>
        <v>1.7777777777777778E-2</v>
      </c>
      <c r="M37" s="699">
        <f t="shared" si="1"/>
        <v>22.275000000000002</v>
      </c>
      <c r="N37" s="381">
        <f t="shared" si="2"/>
        <v>6</v>
      </c>
      <c r="O37" s="1278"/>
    </row>
    <row r="38" spans="1:31" s="386" customFormat="1" ht="12.4" customHeight="1" x14ac:dyDescent="0.2">
      <c r="A38" s="694" t="s">
        <v>153</v>
      </c>
      <c r="B38" s="695" t="s">
        <v>156</v>
      </c>
      <c r="C38" s="693">
        <f>'Order form'!F101+('Order form'!F156*2)+('Order form'!K156*2)+('Order form'!U167*4)</f>
        <v>4</v>
      </c>
      <c r="D38" s="693" t="str">
        <f>'Order form'!D100</f>
        <v>H-6</v>
      </c>
      <c r="E38" s="693" t="s">
        <v>644</v>
      </c>
      <c r="F38" s="696">
        <f>'Order form'!D101</f>
        <v>0.5</v>
      </c>
      <c r="G38" s="696">
        <f t="shared" si="6"/>
        <v>2</v>
      </c>
      <c r="H38" s="697">
        <v>0.1298</v>
      </c>
      <c r="I38" s="698">
        <f t="shared" si="5"/>
        <v>0.51919999999999999</v>
      </c>
      <c r="J38" s="698" t="s">
        <v>22</v>
      </c>
      <c r="K38" s="698">
        <f>'Order form'!G102</f>
        <v>225</v>
      </c>
      <c r="L38" s="698">
        <f t="shared" si="0"/>
        <v>1.7777777777777778E-2</v>
      </c>
      <c r="M38" s="699">
        <f t="shared" si="1"/>
        <v>29.204999999999998</v>
      </c>
      <c r="N38" s="381">
        <f t="shared" si="2"/>
        <v>7</v>
      </c>
      <c r="O38" s="1278"/>
    </row>
    <row r="39" spans="1:31" s="386" customFormat="1" ht="12.4" customHeight="1" x14ac:dyDescent="0.2">
      <c r="A39" s="694" t="s">
        <v>153</v>
      </c>
      <c r="B39" s="695" t="s">
        <v>156</v>
      </c>
      <c r="C39" s="693">
        <f>'Order form'!K101+('Order form'!K156*2)</f>
        <v>0</v>
      </c>
      <c r="D39" s="693" t="str">
        <f>'Order form'!I100</f>
        <v>H-6A</v>
      </c>
      <c r="E39" s="693" t="s">
        <v>645</v>
      </c>
      <c r="F39" s="696">
        <f>'Order form'!I101</f>
        <v>0.95</v>
      </c>
      <c r="G39" s="696">
        <f t="shared" si="6"/>
        <v>0</v>
      </c>
      <c r="H39" s="697">
        <v>0.14520000000000002</v>
      </c>
      <c r="I39" s="698">
        <f t="shared" si="5"/>
        <v>0</v>
      </c>
      <c r="J39" s="698" t="s">
        <v>22</v>
      </c>
      <c r="K39" s="698">
        <f>'Order form'!L102</f>
        <v>180</v>
      </c>
      <c r="L39" s="698">
        <f t="shared" si="0"/>
        <v>0</v>
      </c>
      <c r="M39" s="699">
        <f t="shared" si="1"/>
        <v>26.136000000000003</v>
      </c>
      <c r="N39" s="381">
        <f t="shared" si="2"/>
        <v>7</v>
      </c>
      <c r="O39" s="1278"/>
    </row>
    <row r="40" spans="1:31" s="386" customFormat="1" ht="12.4" customHeight="1" x14ac:dyDescent="0.2">
      <c r="A40" s="694" t="s">
        <v>153</v>
      </c>
      <c r="B40" s="695" t="s">
        <v>156</v>
      </c>
      <c r="C40" s="693">
        <f>'Order form'!P101+('Order form'!P156*2)</f>
        <v>0</v>
      </c>
      <c r="D40" s="693" t="str">
        <f>'Order form'!N100</f>
        <v>H-7</v>
      </c>
      <c r="E40" s="693" t="s">
        <v>646</v>
      </c>
      <c r="F40" s="696">
        <f>'Order form'!N101</f>
        <v>0.55000000000000004</v>
      </c>
      <c r="G40" s="696">
        <f t="shared" si="6"/>
        <v>0</v>
      </c>
      <c r="H40" s="697">
        <v>0.10560000000000001</v>
      </c>
      <c r="I40" s="698">
        <f t="shared" si="5"/>
        <v>0</v>
      </c>
      <c r="J40" s="698" t="s">
        <v>22</v>
      </c>
      <c r="K40" s="698">
        <f>'Order form'!Q102</f>
        <v>150</v>
      </c>
      <c r="L40" s="698">
        <f t="shared" si="0"/>
        <v>0</v>
      </c>
      <c r="M40" s="699">
        <f t="shared" si="1"/>
        <v>15.840000000000002</v>
      </c>
      <c r="N40" s="381">
        <f t="shared" si="2"/>
        <v>7</v>
      </c>
      <c r="O40" s="1278"/>
    </row>
    <row r="41" spans="1:31" s="386" customFormat="1" ht="12.4" customHeight="1" x14ac:dyDescent="0.2">
      <c r="A41" s="694" t="s">
        <v>153</v>
      </c>
      <c r="B41" s="695" t="s">
        <v>156</v>
      </c>
      <c r="C41" s="693">
        <f>'Order form'!U101+('Order form'!U156*2)</f>
        <v>0</v>
      </c>
      <c r="D41" s="693" t="str">
        <f>'Order form'!S100</f>
        <v>H-7A</v>
      </c>
      <c r="E41" s="693" t="s">
        <v>647</v>
      </c>
      <c r="F41" s="696">
        <f>'Order form'!S101</f>
        <v>0.7</v>
      </c>
      <c r="G41" s="696">
        <f t="shared" si="6"/>
        <v>0</v>
      </c>
      <c r="H41" s="697">
        <v>8.8000000000000009E-2</v>
      </c>
      <c r="I41" s="698">
        <f t="shared" si="5"/>
        <v>0</v>
      </c>
      <c r="J41" s="698" t="s">
        <v>22</v>
      </c>
      <c r="K41" s="698">
        <f>'Order form'!V102</f>
        <v>225</v>
      </c>
      <c r="L41" s="698">
        <f t="shared" si="0"/>
        <v>0</v>
      </c>
      <c r="M41" s="699">
        <f t="shared" si="1"/>
        <v>19.8</v>
      </c>
      <c r="N41" s="381">
        <f t="shared" si="2"/>
        <v>7</v>
      </c>
      <c r="O41" s="1278"/>
    </row>
    <row r="42" spans="1:31" s="386" customFormat="1" ht="12.4" customHeight="1" x14ac:dyDescent="0.2">
      <c r="A42" s="694" t="s">
        <v>153</v>
      </c>
      <c r="B42" s="695" t="s">
        <v>156</v>
      </c>
      <c r="C42" s="693">
        <f>'Order form'!Z101+('Order form'!Z156*1)</f>
        <v>0</v>
      </c>
      <c r="D42" s="693" t="str">
        <f>'Order form'!X100</f>
        <v>H-8</v>
      </c>
      <c r="E42" s="693" t="s">
        <v>648</v>
      </c>
      <c r="F42" s="696">
        <f>'Order form'!X101</f>
        <v>0.9</v>
      </c>
      <c r="G42" s="696">
        <f t="shared" si="6"/>
        <v>0</v>
      </c>
      <c r="H42" s="697">
        <v>0.14740000000000003</v>
      </c>
      <c r="I42" s="698">
        <f t="shared" si="5"/>
        <v>0</v>
      </c>
      <c r="J42" s="698" t="s">
        <v>22</v>
      </c>
      <c r="K42" s="698">
        <f>'Order form'!AA102</f>
        <v>180</v>
      </c>
      <c r="L42" s="698">
        <f t="shared" si="0"/>
        <v>0</v>
      </c>
      <c r="M42" s="699">
        <f t="shared" si="1"/>
        <v>26.532000000000007</v>
      </c>
      <c r="N42" s="381">
        <f t="shared" si="2"/>
        <v>7</v>
      </c>
      <c r="O42" s="1278"/>
    </row>
    <row r="43" spans="1:31" s="386" customFormat="1" ht="12.4" customHeight="1" x14ac:dyDescent="0.2">
      <c r="A43" s="694" t="s">
        <v>153</v>
      </c>
      <c r="B43" s="695" t="s">
        <v>156</v>
      </c>
      <c r="C43" s="693">
        <f>'Order form'!F111+('Order form'!Z156*1)+('Order form'!F167*2)</f>
        <v>0</v>
      </c>
      <c r="D43" s="693" t="str">
        <f>'Order form'!D110</f>
        <v>H-9</v>
      </c>
      <c r="E43" s="693" t="s">
        <v>649</v>
      </c>
      <c r="F43" s="696">
        <f>'Order form'!D111</f>
        <v>0.9</v>
      </c>
      <c r="G43" s="696">
        <f t="shared" si="6"/>
        <v>0</v>
      </c>
      <c r="H43" s="697">
        <v>0.13640000000000002</v>
      </c>
      <c r="I43" s="698">
        <f t="shared" si="5"/>
        <v>0</v>
      </c>
      <c r="J43" s="698" t="s">
        <v>22</v>
      </c>
      <c r="K43" s="698">
        <f>'Order form'!G112</f>
        <v>245</v>
      </c>
      <c r="L43" s="698">
        <f t="shared" si="0"/>
        <v>0</v>
      </c>
      <c r="M43" s="699">
        <f t="shared" si="1"/>
        <v>33.418000000000006</v>
      </c>
      <c r="N43" s="381">
        <f t="shared" si="2"/>
        <v>7</v>
      </c>
      <c r="O43" s="1278"/>
    </row>
    <row r="44" spans="1:31" s="386" customFormat="1" ht="12.4" customHeight="1" x14ac:dyDescent="0.2">
      <c r="A44" s="694" t="s">
        <v>153</v>
      </c>
      <c r="B44" s="695" t="s">
        <v>156</v>
      </c>
      <c r="C44" s="693">
        <f>'Order form'!K111+('Order form'!K167*2)</f>
        <v>0</v>
      </c>
      <c r="D44" s="693" t="str">
        <f>'Order form'!I110</f>
        <v>H-12</v>
      </c>
      <c r="E44" s="693" t="s">
        <v>650</v>
      </c>
      <c r="F44" s="696">
        <f>'Order form'!I111</f>
        <v>0.75</v>
      </c>
      <c r="G44" s="696">
        <f t="shared" si="6"/>
        <v>0</v>
      </c>
      <c r="H44" s="697">
        <v>0.1386</v>
      </c>
      <c r="I44" s="698">
        <f t="shared" si="5"/>
        <v>0</v>
      </c>
      <c r="J44" s="698" t="s">
        <v>22</v>
      </c>
      <c r="K44" s="698">
        <f>'Order form'!L112</f>
        <v>180</v>
      </c>
      <c r="L44" s="698">
        <f t="shared" si="0"/>
        <v>0</v>
      </c>
      <c r="M44" s="699">
        <f t="shared" si="1"/>
        <v>24.948</v>
      </c>
      <c r="N44" s="381">
        <f t="shared" si="2"/>
        <v>7</v>
      </c>
      <c r="O44" s="1278"/>
    </row>
    <row r="45" spans="1:31" s="386" customFormat="1" ht="12.4" customHeight="1" x14ac:dyDescent="0.2">
      <c r="A45" s="694" t="s">
        <v>153</v>
      </c>
      <c r="B45" s="695" t="s">
        <v>156</v>
      </c>
      <c r="C45" s="693">
        <f>'Order form'!P111+('Order form'!P167*2)</f>
        <v>0</v>
      </c>
      <c r="D45" s="693" t="str">
        <f>'Order form'!N110</f>
        <v>H-13</v>
      </c>
      <c r="E45" s="693" t="s">
        <v>651</v>
      </c>
      <c r="F45" s="696">
        <f>'Order form'!N111</f>
        <v>0.69</v>
      </c>
      <c r="G45" s="696">
        <f t="shared" si="6"/>
        <v>0</v>
      </c>
      <c r="H45" s="697">
        <v>0.11660000000000001</v>
      </c>
      <c r="I45" s="698">
        <f t="shared" si="5"/>
        <v>0</v>
      </c>
      <c r="J45" s="698" t="s">
        <v>22</v>
      </c>
      <c r="K45" s="698">
        <f>'Order form'!Q112</f>
        <v>225</v>
      </c>
      <c r="L45" s="698">
        <f t="shared" si="0"/>
        <v>0</v>
      </c>
      <c r="M45" s="699">
        <f t="shared" si="1"/>
        <v>26.235000000000003</v>
      </c>
      <c r="N45" s="381">
        <f t="shared" si="2"/>
        <v>7</v>
      </c>
      <c r="O45" s="1278"/>
    </row>
    <row r="46" spans="1:31" s="386" customFormat="1" ht="12.4" customHeight="1" x14ac:dyDescent="0.2">
      <c r="A46" s="694" t="s">
        <v>153</v>
      </c>
      <c r="B46" s="695" t="s">
        <v>156</v>
      </c>
      <c r="C46" s="693">
        <f>'Order form'!U111+('Order form'!U167*2)</f>
        <v>0</v>
      </c>
      <c r="D46" s="693" t="str">
        <f>'Order form'!S110</f>
        <v>H-14</v>
      </c>
      <c r="E46" s="693" t="s">
        <v>652</v>
      </c>
      <c r="F46" s="696">
        <f>'Order form'!S111</f>
        <v>0.8</v>
      </c>
      <c r="G46" s="696">
        <f t="shared" si="6"/>
        <v>0</v>
      </c>
      <c r="H46" s="697">
        <v>0.12320000000000002</v>
      </c>
      <c r="I46" s="698">
        <f t="shared" si="5"/>
        <v>0</v>
      </c>
      <c r="J46" s="698" t="s">
        <v>22</v>
      </c>
      <c r="K46" s="698">
        <f>'Order form'!V112</f>
        <v>240</v>
      </c>
      <c r="L46" s="698">
        <f t="shared" si="0"/>
        <v>0</v>
      </c>
      <c r="M46" s="699">
        <f t="shared" si="1"/>
        <v>29.568000000000005</v>
      </c>
      <c r="N46" s="381">
        <f t="shared" si="2"/>
        <v>7</v>
      </c>
      <c r="O46" s="1278"/>
    </row>
    <row r="47" spans="1:31" s="386" customFormat="1" ht="12.4" customHeight="1" x14ac:dyDescent="0.2">
      <c r="A47" s="694" t="s">
        <v>153</v>
      </c>
      <c r="B47" s="695" t="s">
        <v>156</v>
      </c>
      <c r="C47" s="693">
        <f>'Order form'!Z111+('Order form'!Z167*1)</f>
        <v>0</v>
      </c>
      <c r="D47" s="693" t="str">
        <f>'Order form'!X110</f>
        <v>H-15</v>
      </c>
      <c r="E47" s="693" t="s">
        <v>653</v>
      </c>
      <c r="F47" s="696">
        <f>'Order form'!X111</f>
        <v>0.75</v>
      </c>
      <c r="G47" s="696">
        <f t="shared" si="6"/>
        <v>0</v>
      </c>
      <c r="H47" s="697">
        <v>8.3600000000000008E-2</v>
      </c>
      <c r="I47" s="698">
        <f t="shared" si="5"/>
        <v>0</v>
      </c>
      <c r="J47" s="698" t="s">
        <v>22</v>
      </c>
      <c r="K47" s="698">
        <f>'Order form'!AA112</f>
        <v>300</v>
      </c>
      <c r="L47" s="698">
        <f t="shared" si="0"/>
        <v>0</v>
      </c>
      <c r="M47" s="699">
        <f t="shared" si="1"/>
        <v>25.080000000000002</v>
      </c>
      <c r="N47" s="381">
        <f t="shared" si="2"/>
        <v>7</v>
      </c>
      <c r="O47" s="1278"/>
    </row>
    <row r="48" spans="1:31" s="386" customFormat="1" ht="12.4" customHeight="1" x14ac:dyDescent="0.2">
      <c r="A48" s="694" t="s">
        <v>153</v>
      </c>
      <c r="B48" s="695" t="s">
        <v>156</v>
      </c>
      <c r="C48" s="693">
        <f>'Order form'!F121+('Order form'!Z167*1)</f>
        <v>0</v>
      </c>
      <c r="D48" s="693" t="str">
        <f>'Order form'!D120</f>
        <v>H-16</v>
      </c>
      <c r="E48" s="693" t="s">
        <v>654</v>
      </c>
      <c r="F48" s="696">
        <f>'Order form'!D121</f>
        <v>0.75</v>
      </c>
      <c r="G48" s="696">
        <f t="shared" si="6"/>
        <v>0</v>
      </c>
      <c r="H48" s="697">
        <v>0.10120000000000001</v>
      </c>
      <c r="I48" s="698">
        <f t="shared" si="5"/>
        <v>0</v>
      </c>
      <c r="J48" s="698" t="s">
        <v>22</v>
      </c>
      <c r="K48" s="698">
        <f>'Order form'!G122</f>
        <v>300</v>
      </c>
      <c r="L48" s="698">
        <f t="shared" si="0"/>
        <v>0</v>
      </c>
      <c r="M48" s="699">
        <f t="shared" si="1"/>
        <v>30.360000000000003</v>
      </c>
      <c r="N48" s="381">
        <f t="shared" si="2"/>
        <v>7</v>
      </c>
      <c r="O48" s="1278"/>
    </row>
    <row r="49" spans="1:15" s="386" customFormat="1" ht="12" customHeight="1" x14ac:dyDescent="0.2">
      <c r="A49" s="694" t="s">
        <v>153</v>
      </c>
      <c r="B49" s="695" t="s">
        <v>156</v>
      </c>
      <c r="C49" s="693">
        <f>'Order form'!K121+('Order form'!F178*1)</f>
        <v>0</v>
      </c>
      <c r="D49" s="693" t="str">
        <f>'Order form'!I120</f>
        <v>H-17</v>
      </c>
      <c r="E49" s="693" t="s">
        <v>655</v>
      </c>
      <c r="F49" s="696">
        <f>'Order form'!I121</f>
        <v>0.7</v>
      </c>
      <c r="G49" s="696">
        <f t="shared" si="6"/>
        <v>0</v>
      </c>
      <c r="H49" s="697">
        <v>0.15180000000000002</v>
      </c>
      <c r="I49" s="698">
        <f t="shared" si="5"/>
        <v>0</v>
      </c>
      <c r="J49" s="698" t="s">
        <v>22</v>
      </c>
      <c r="K49" s="698">
        <f>'Order form'!L122</f>
        <v>145</v>
      </c>
      <c r="L49" s="698">
        <f t="shared" si="0"/>
        <v>0</v>
      </c>
      <c r="M49" s="699">
        <f t="shared" si="1"/>
        <v>22.011000000000003</v>
      </c>
      <c r="N49" s="381">
        <f t="shared" si="2"/>
        <v>7</v>
      </c>
      <c r="O49" s="1278"/>
    </row>
    <row r="50" spans="1:15" s="386" customFormat="1" ht="12" customHeight="1" x14ac:dyDescent="0.2">
      <c r="A50" s="694" t="s">
        <v>153</v>
      </c>
      <c r="B50" s="695" t="s">
        <v>156</v>
      </c>
      <c r="C50" s="693">
        <f>'Order form'!P121+('Order form'!F178*1)</f>
        <v>0</v>
      </c>
      <c r="D50" s="693" t="str">
        <f>'Order form'!N120</f>
        <v>H-18</v>
      </c>
      <c r="E50" s="693" t="s">
        <v>656</v>
      </c>
      <c r="F50" s="696">
        <f>'Order form'!N121</f>
        <v>0.7</v>
      </c>
      <c r="G50" s="696">
        <f t="shared" si="6"/>
        <v>0</v>
      </c>
      <c r="H50" s="697">
        <v>0.15180000000000002</v>
      </c>
      <c r="I50" s="698">
        <f t="shared" si="5"/>
        <v>0</v>
      </c>
      <c r="J50" s="698" t="s">
        <v>22</v>
      </c>
      <c r="K50" s="698">
        <f>'Order form'!Q122</f>
        <v>145</v>
      </c>
      <c r="L50" s="698">
        <f t="shared" si="0"/>
        <v>0</v>
      </c>
      <c r="M50" s="699">
        <f t="shared" si="1"/>
        <v>22.011000000000003</v>
      </c>
      <c r="N50" s="381">
        <f t="shared" si="2"/>
        <v>7</v>
      </c>
      <c r="O50" s="1278"/>
    </row>
    <row r="51" spans="1:15" s="386" customFormat="1" ht="12" customHeight="1" x14ac:dyDescent="0.2">
      <c r="A51" s="694" t="s">
        <v>153</v>
      </c>
      <c r="B51" s="695" t="s">
        <v>156</v>
      </c>
      <c r="C51" s="693">
        <f>'Order form'!U121+('Order form'!K178*2)</f>
        <v>0</v>
      </c>
      <c r="D51" s="693" t="str">
        <f>'Order form'!S120</f>
        <v>H-23</v>
      </c>
      <c r="E51" s="693" t="s">
        <v>657</v>
      </c>
      <c r="F51" s="696">
        <f>'Order form'!S121</f>
        <v>0.8</v>
      </c>
      <c r="G51" s="696">
        <f t="shared" si="6"/>
        <v>0</v>
      </c>
      <c r="H51" s="741">
        <v>0.30975999999999998</v>
      </c>
      <c r="I51" s="698">
        <f t="shared" si="5"/>
        <v>0</v>
      </c>
      <c r="J51" s="698" t="s">
        <v>22</v>
      </c>
      <c r="K51" s="698">
        <f>'Order form'!V122</f>
        <v>120</v>
      </c>
      <c r="L51" s="698">
        <f t="shared" si="0"/>
        <v>0</v>
      </c>
      <c r="M51" s="699">
        <f t="shared" si="1"/>
        <v>37.171199999999999</v>
      </c>
      <c r="N51" s="381">
        <f t="shared" si="2"/>
        <v>7</v>
      </c>
      <c r="O51" s="1278"/>
    </row>
    <row r="52" spans="1:15" s="386" customFormat="1" ht="12" customHeight="1" x14ac:dyDescent="0.2">
      <c r="A52" s="694" t="s">
        <v>153</v>
      </c>
      <c r="B52" s="695" t="s">
        <v>156</v>
      </c>
      <c r="C52" s="693">
        <f>'Order form'!Z121+('Order form'!P178*2)</f>
        <v>0</v>
      </c>
      <c r="D52" s="693" t="str">
        <f>'Order form'!X120</f>
        <v>H-24</v>
      </c>
      <c r="E52" s="693" t="s">
        <v>918</v>
      </c>
      <c r="F52" s="696">
        <f>'Order form'!X121</f>
        <v>0.95</v>
      </c>
      <c r="G52" s="696">
        <f t="shared" si="6"/>
        <v>0</v>
      </c>
      <c r="H52" s="741">
        <v>0.49368000000000001</v>
      </c>
      <c r="I52" s="698">
        <f>C52*H52</f>
        <v>0</v>
      </c>
      <c r="J52" s="698" t="s">
        <v>22</v>
      </c>
      <c r="K52" s="698">
        <f>'Order form'!AA122</f>
        <v>150</v>
      </c>
      <c r="L52" s="698">
        <f t="shared" si="0"/>
        <v>0</v>
      </c>
      <c r="M52" s="699">
        <f t="shared" si="1"/>
        <v>74.052000000000007</v>
      </c>
      <c r="N52" s="381">
        <f t="shared" si="2"/>
        <v>7</v>
      </c>
      <c r="O52" s="1278"/>
    </row>
    <row r="53" spans="1:15" s="386" customFormat="1" ht="12" customHeight="1" x14ac:dyDescent="0.2">
      <c r="A53" s="694" t="s">
        <v>153</v>
      </c>
      <c r="B53" s="695" t="s">
        <v>156</v>
      </c>
      <c r="C53" s="693">
        <f>'Order form'!F131+('Order form'!U178*2)</f>
        <v>0</v>
      </c>
      <c r="D53" s="693" t="str">
        <f>'Order form'!D130</f>
        <v>H-90</v>
      </c>
      <c r="E53" s="693" t="s">
        <v>919</v>
      </c>
      <c r="F53" s="696">
        <f>'Order form'!D131</f>
        <v>0.9</v>
      </c>
      <c r="G53" s="696">
        <f t="shared" si="6"/>
        <v>0</v>
      </c>
      <c r="H53" s="697">
        <v>0.28160000000000002</v>
      </c>
      <c r="I53" s="698">
        <f>C53*H53</f>
        <v>0</v>
      </c>
      <c r="J53" s="698" t="s">
        <v>22</v>
      </c>
      <c r="K53" s="698">
        <f>'Order form'!G132</f>
        <v>100</v>
      </c>
      <c r="L53" s="698">
        <f t="shared" si="0"/>
        <v>0</v>
      </c>
      <c r="M53" s="699">
        <f t="shared" si="1"/>
        <v>28.16</v>
      </c>
      <c r="N53" s="381">
        <f t="shared" si="2"/>
        <v>7</v>
      </c>
      <c r="O53" s="1278"/>
    </row>
    <row r="54" spans="1:15" s="386" customFormat="1" ht="12" customHeight="1" x14ac:dyDescent="0.2">
      <c r="A54" s="694" t="s">
        <v>153</v>
      </c>
      <c r="B54" s="695" t="s">
        <v>156</v>
      </c>
      <c r="C54" s="693">
        <f>'Order form'!K131</f>
        <v>0</v>
      </c>
      <c r="D54" s="693" t="str">
        <f>'Order form'!I130</f>
        <v>HJ-MS</v>
      </c>
      <c r="E54" s="693" t="s">
        <v>836</v>
      </c>
      <c r="F54" s="696">
        <f>'Order form'!I131</f>
        <v>1.65</v>
      </c>
      <c r="G54" s="696">
        <f t="shared" si="6"/>
        <v>0</v>
      </c>
      <c r="H54" s="697">
        <v>0.31900000000000001</v>
      </c>
      <c r="I54" s="698">
        <f>C54*H54</f>
        <v>0</v>
      </c>
      <c r="J54" s="698" t="s">
        <v>22</v>
      </c>
      <c r="K54" s="698">
        <f>'Order form'!L132</f>
        <v>72</v>
      </c>
      <c r="L54" s="698">
        <f t="shared" si="0"/>
        <v>0</v>
      </c>
      <c r="M54" s="699">
        <f t="shared" si="1"/>
        <v>22.968</v>
      </c>
      <c r="N54" s="381">
        <f t="shared" si="2"/>
        <v>7</v>
      </c>
      <c r="O54" s="1278"/>
    </row>
    <row r="55" spans="1:15" s="386" customFormat="1" ht="12" customHeight="1" x14ac:dyDescent="0.2">
      <c r="A55" s="694" t="s">
        <v>153</v>
      </c>
      <c r="B55" s="695" t="s">
        <v>156</v>
      </c>
      <c r="C55" s="693">
        <f>'Order form'!P131</f>
        <v>0</v>
      </c>
      <c r="D55" s="693" t="str">
        <f>'Order form'!N130</f>
        <v>HJ-DS</v>
      </c>
      <c r="E55" s="693" t="s">
        <v>835</v>
      </c>
      <c r="F55" s="696">
        <f>'Order form'!N131</f>
        <v>1.65</v>
      </c>
      <c r="G55" s="696">
        <f t="shared" si="6"/>
        <v>0</v>
      </c>
      <c r="H55" s="700">
        <v>0.31900000000000001</v>
      </c>
      <c r="I55" s="698">
        <f>C55*H55</f>
        <v>0</v>
      </c>
      <c r="J55" s="698" t="s">
        <v>22</v>
      </c>
      <c r="K55" s="698">
        <v>72</v>
      </c>
      <c r="L55" s="698">
        <f t="shared" si="0"/>
        <v>0</v>
      </c>
      <c r="M55" s="699">
        <f t="shared" si="1"/>
        <v>22.968</v>
      </c>
      <c r="N55" s="381">
        <f t="shared" si="2"/>
        <v>7</v>
      </c>
      <c r="O55" s="1278"/>
    </row>
    <row r="56" spans="1:15" s="658" customFormat="1" ht="12" customHeight="1" x14ac:dyDescent="0.2">
      <c r="A56" s="653" t="s">
        <v>153</v>
      </c>
      <c r="B56" s="695" t="s">
        <v>156</v>
      </c>
      <c r="C56" s="654"/>
      <c r="D56" s="654" t="str">
        <f>'Order form'!D142</f>
        <v>HJ-1</v>
      </c>
      <c r="E56" s="654" t="s">
        <v>658</v>
      </c>
      <c r="F56" s="655">
        <f>'Order form'!D145</f>
        <v>1.23</v>
      </c>
      <c r="G56" s="655">
        <f t="shared" si="6"/>
        <v>0</v>
      </c>
      <c r="H56" s="702">
        <v>0.31460000000000005</v>
      </c>
      <c r="I56" s="656"/>
      <c r="J56" s="656" t="s">
        <v>375</v>
      </c>
      <c r="K56" s="656"/>
      <c r="L56" s="656"/>
      <c r="M56" s="657"/>
      <c r="N56" s="381">
        <f t="shared" si="2"/>
        <v>7</v>
      </c>
      <c r="O56" s="1278"/>
    </row>
    <row r="57" spans="1:15" s="658" customFormat="1" ht="12" customHeight="1" x14ac:dyDescent="0.2">
      <c r="A57" s="653" t="s">
        <v>153</v>
      </c>
      <c r="B57" s="695" t="s">
        <v>156</v>
      </c>
      <c r="C57" s="654"/>
      <c r="D57" s="654" t="str">
        <f>'Order form'!I142</f>
        <v>HJ-2</v>
      </c>
      <c r="E57" s="654" t="s">
        <v>659</v>
      </c>
      <c r="F57" s="655">
        <f>'Order form'!I145</f>
        <v>2.13</v>
      </c>
      <c r="G57" s="655">
        <f t="shared" si="6"/>
        <v>0</v>
      </c>
      <c r="H57" s="702">
        <v>0.51039999999999996</v>
      </c>
      <c r="I57" s="656"/>
      <c r="J57" s="656" t="s">
        <v>375</v>
      </c>
      <c r="K57" s="656"/>
      <c r="L57" s="656"/>
      <c r="M57" s="657"/>
      <c r="N57" s="381">
        <f t="shared" si="2"/>
        <v>7</v>
      </c>
      <c r="O57" s="1278"/>
    </row>
    <row r="58" spans="1:15" s="658" customFormat="1" ht="12" customHeight="1" x14ac:dyDescent="0.2">
      <c r="A58" s="653" t="s">
        <v>153</v>
      </c>
      <c r="B58" s="695" t="s">
        <v>156</v>
      </c>
      <c r="C58" s="654"/>
      <c r="D58" s="654" t="str">
        <f>'Order form'!N142</f>
        <v>HJ-3</v>
      </c>
      <c r="E58" s="654" t="s">
        <v>660</v>
      </c>
      <c r="F58" s="655">
        <f>'Order form'!N145</f>
        <v>3.08</v>
      </c>
      <c r="G58" s="655">
        <f t="shared" si="6"/>
        <v>0</v>
      </c>
      <c r="H58" s="702">
        <v>0.70620000000000005</v>
      </c>
      <c r="I58" s="656"/>
      <c r="J58" s="656" t="s">
        <v>375</v>
      </c>
      <c r="K58" s="656"/>
      <c r="L58" s="656"/>
      <c r="M58" s="657"/>
      <c r="N58" s="381">
        <f t="shared" si="2"/>
        <v>7</v>
      </c>
      <c r="O58" s="1278"/>
    </row>
    <row r="59" spans="1:15" s="658" customFormat="1" ht="12" customHeight="1" x14ac:dyDescent="0.2">
      <c r="A59" s="653" t="s">
        <v>153</v>
      </c>
      <c r="B59" s="695" t="s">
        <v>156</v>
      </c>
      <c r="C59" s="654"/>
      <c r="D59" s="654" t="str">
        <f>'Order form'!S142</f>
        <v>HJ-4</v>
      </c>
      <c r="E59" s="654" t="s">
        <v>661</v>
      </c>
      <c r="F59" s="655">
        <f>'Order form'!S145</f>
        <v>1.96</v>
      </c>
      <c r="G59" s="655">
        <f t="shared" si="6"/>
        <v>0</v>
      </c>
      <c r="H59" s="702">
        <v>0.50600000000000001</v>
      </c>
      <c r="I59" s="656"/>
      <c r="J59" s="656" t="s">
        <v>375</v>
      </c>
      <c r="K59" s="656"/>
      <c r="L59" s="656"/>
      <c r="M59" s="657"/>
      <c r="N59" s="381">
        <f t="shared" si="2"/>
        <v>7</v>
      </c>
      <c r="O59" s="1278"/>
    </row>
    <row r="60" spans="1:15" s="658" customFormat="1" ht="12" customHeight="1" x14ac:dyDescent="0.2">
      <c r="A60" s="653" t="s">
        <v>153</v>
      </c>
      <c r="B60" s="695" t="s">
        <v>156</v>
      </c>
      <c r="C60" s="654"/>
      <c r="D60" s="654" t="str">
        <f>'Order form'!X142</f>
        <v>HJ-5</v>
      </c>
      <c r="E60" s="654" t="s">
        <v>662</v>
      </c>
      <c r="F60" s="655">
        <f>'Order form'!X145</f>
        <v>4.2</v>
      </c>
      <c r="G60" s="655">
        <f t="shared" si="6"/>
        <v>0</v>
      </c>
      <c r="H60" s="702">
        <v>0.90640000000000009</v>
      </c>
      <c r="I60" s="656"/>
      <c r="J60" s="656" t="s">
        <v>375</v>
      </c>
      <c r="K60" s="656"/>
      <c r="L60" s="656"/>
      <c r="M60" s="657"/>
      <c r="N60" s="381">
        <f t="shared" si="2"/>
        <v>7</v>
      </c>
      <c r="O60" s="1278"/>
    </row>
    <row r="61" spans="1:15" s="658" customFormat="1" ht="12" customHeight="1" x14ac:dyDescent="0.2">
      <c r="A61" s="653" t="s">
        <v>153</v>
      </c>
      <c r="B61" s="695" t="s">
        <v>156</v>
      </c>
      <c r="C61" s="654"/>
      <c r="D61" s="654" t="str">
        <f>'Order form'!D153</f>
        <v>HJ-6</v>
      </c>
      <c r="E61" s="654" t="s">
        <v>663</v>
      </c>
      <c r="F61" s="655">
        <f>'Order form'!D156</f>
        <v>2.2599999999999998</v>
      </c>
      <c r="G61" s="655">
        <f t="shared" si="6"/>
        <v>0</v>
      </c>
      <c r="H61" s="702">
        <v>0.49719999999999998</v>
      </c>
      <c r="I61" s="656"/>
      <c r="J61" s="656" t="s">
        <v>375</v>
      </c>
      <c r="K61" s="656"/>
      <c r="L61" s="656"/>
      <c r="M61" s="657"/>
      <c r="N61" s="381">
        <f t="shared" si="2"/>
        <v>7</v>
      </c>
      <c r="O61" s="1278"/>
    </row>
    <row r="62" spans="1:15" s="658" customFormat="1" ht="12" customHeight="1" x14ac:dyDescent="0.2">
      <c r="A62" s="653" t="s">
        <v>153</v>
      </c>
      <c r="B62" s="695" t="s">
        <v>156</v>
      </c>
      <c r="C62" s="654"/>
      <c r="D62" s="654" t="str">
        <f>'Order form'!I153</f>
        <v>HJ-6A</v>
      </c>
      <c r="E62" s="654" t="s">
        <v>664</v>
      </c>
      <c r="F62" s="655">
        <f>'Order form'!I156</f>
        <v>3.29</v>
      </c>
      <c r="G62" s="655">
        <f t="shared" si="6"/>
        <v>0</v>
      </c>
      <c r="H62" s="702">
        <v>0.60940000000000005</v>
      </c>
      <c r="I62" s="656"/>
      <c r="J62" s="656" t="s">
        <v>375</v>
      </c>
      <c r="K62" s="656"/>
      <c r="L62" s="656"/>
      <c r="M62" s="657"/>
      <c r="N62" s="381">
        <f t="shared" si="2"/>
        <v>7</v>
      </c>
      <c r="O62" s="1278"/>
    </row>
    <row r="63" spans="1:15" s="658" customFormat="1" ht="12" customHeight="1" x14ac:dyDescent="0.2">
      <c r="A63" s="653" t="s">
        <v>153</v>
      </c>
      <c r="B63" s="695" t="s">
        <v>156</v>
      </c>
      <c r="C63" s="654"/>
      <c r="D63" s="654" t="str">
        <f>'Order form'!N153</f>
        <v>HJ-7</v>
      </c>
      <c r="E63" s="654" t="s">
        <v>665</v>
      </c>
      <c r="F63" s="655">
        <f>'Order form'!N156</f>
        <v>1.23</v>
      </c>
      <c r="G63" s="655">
        <f t="shared" si="6"/>
        <v>0</v>
      </c>
      <c r="H63" s="702">
        <v>0.23100000000000004</v>
      </c>
      <c r="I63" s="656"/>
      <c r="J63" s="656" t="s">
        <v>375</v>
      </c>
      <c r="K63" s="656"/>
      <c r="L63" s="656"/>
      <c r="M63" s="657"/>
      <c r="N63" s="381">
        <f t="shared" si="2"/>
        <v>7</v>
      </c>
      <c r="O63" s="1278"/>
    </row>
    <row r="64" spans="1:15" s="658" customFormat="1" ht="12" customHeight="1" x14ac:dyDescent="0.2">
      <c r="A64" s="653" t="s">
        <v>153</v>
      </c>
      <c r="B64" s="695" t="s">
        <v>156</v>
      </c>
      <c r="C64" s="654"/>
      <c r="D64" s="654" t="str">
        <f>'Order form'!S153</f>
        <v>HJ-7A</v>
      </c>
      <c r="E64" s="654" t="s">
        <v>666</v>
      </c>
      <c r="F64" s="655">
        <f>'Order form'!S156</f>
        <v>1.53</v>
      </c>
      <c r="G64" s="655">
        <f t="shared" si="6"/>
        <v>0</v>
      </c>
      <c r="H64" s="702">
        <v>0.1958</v>
      </c>
      <c r="I64" s="656"/>
      <c r="J64" s="656" t="s">
        <v>375</v>
      </c>
      <c r="K64" s="656"/>
      <c r="L64" s="656"/>
      <c r="M64" s="657"/>
      <c r="N64" s="381">
        <f t="shared" si="2"/>
        <v>7</v>
      </c>
      <c r="O64" s="1278"/>
    </row>
    <row r="65" spans="1:15" s="658" customFormat="1" ht="12" customHeight="1" x14ac:dyDescent="0.2">
      <c r="A65" s="653" t="s">
        <v>153</v>
      </c>
      <c r="B65" s="695" t="s">
        <v>156</v>
      </c>
      <c r="C65" s="654"/>
      <c r="D65" s="654" t="str">
        <f>'Order form'!X153</f>
        <v>HJ-8</v>
      </c>
      <c r="E65" s="654" t="s">
        <v>667</v>
      </c>
      <c r="F65" s="655">
        <f>'Order form'!X156</f>
        <v>1.93</v>
      </c>
      <c r="G65" s="655">
        <f t="shared" si="6"/>
        <v>0</v>
      </c>
      <c r="H65" s="702">
        <v>0.30360000000000004</v>
      </c>
      <c r="I65" s="656"/>
      <c r="J65" s="656" t="s">
        <v>375</v>
      </c>
      <c r="K65" s="656"/>
      <c r="L65" s="656"/>
      <c r="M65" s="657"/>
      <c r="N65" s="381">
        <f t="shared" si="2"/>
        <v>7</v>
      </c>
      <c r="O65" s="1278"/>
    </row>
    <row r="66" spans="1:15" s="658" customFormat="1" ht="12" customHeight="1" x14ac:dyDescent="0.2">
      <c r="A66" s="653" t="s">
        <v>153</v>
      </c>
      <c r="B66" s="695" t="s">
        <v>156</v>
      </c>
      <c r="C66" s="654"/>
      <c r="D66" s="654" t="str">
        <f>'Order form'!D164</f>
        <v>HJ-9</v>
      </c>
      <c r="E66" s="654" t="s">
        <v>668</v>
      </c>
      <c r="F66" s="655">
        <f>'Order form'!D167</f>
        <v>1.93</v>
      </c>
      <c r="G66" s="655">
        <f t="shared" si="6"/>
        <v>0</v>
      </c>
      <c r="H66" s="702">
        <v>0.29260000000000003</v>
      </c>
      <c r="I66" s="656"/>
      <c r="J66" s="656" t="s">
        <v>375</v>
      </c>
      <c r="K66" s="656"/>
      <c r="L66" s="656"/>
      <c r="M66" s="657"/>
      <c r="N66" s="381">
        <f t="shared" si="2"/>
        <v>7</v>
      </c>
      <c r="O66" s="1278"/>
    </row>
    <row r="67" spans="1:15" s="658" customFormat="1" ht="12" customHeight="1" x14ac:dyDescent="0.2">
      <c r="A67" s="653" t="s">
        <v>153</v>
      </c>
      <c r="B67" s="695" t="s">
        <v>156</v>
      </c>
      <c r="C67" s="654"/>
      <c r="D67" s="654" t="str">
        <f>'Order form'!I164</f>
        <v>HJ-12</v>
      </c>
      <c r="E67" s="654" t="s">
        <v>669</v>
      </c>
      <c r="F67" s="655">
        <f>'Order form'!I167</f>
        <v>1.88</v>
      </c>
      <c r="G67" s="655">
        <f t="shared" si="6"/>
        <v>0</v>
      </c>
      <c r="H67" s="702">
        <v>0.31020000000000003</v>
      </c>
      <c r="I67" s="656"/>
      <c r="J67" s="656" t="s">
        <v>375</v>
      </c>
      <c r="K67" s="656"/>
      <c r="L67" s="656"/>
      <c r="M67" s="657"/>
      <c r="N67" s="381">
        <f t="shared" si="2"/>
        <v>7</v>
      </c>
      <c r="O67" s="1278"/>
    </row>
    <row r="68" spans="1:15" s="658" customFormat="1" ht="12" customHeight="1" x14ac:dyDescent="0.2">
      <c r="A68" s="653" t="s">
        <v>153</v>
      </c>
      <c r="B68" s="695" t="s">
        <v>156</v>
      </c>
      <c r="C68" s="654"/>
      <c r="D68" s="654" t="str">
        <f>'Order form'!N164</f>
        <v>HJ-13</v>
      </c>
      <c r="E68" s="654" t="s">
        <v>670</v>
      </c>
      <c r="F68" s="655">
        <f>'Order form'!N167</f>
        <v>1.51</v>
      </c>
      <c r="G68" s="655">
        <f t="shared" si="6"/>
        <v>0</v>
      </c>
      <c r="H68" s="702">
        <v>0.253</v>
      </c>
      <c r="I68" s="656"/>
      <c r="J68" s="656" t="s">
        <v>375</v>
      </c>
      <c r="K68" s="656"/>
      <c r="L68" s="656"/>
      <c r="M68" s="657"/>
      <c r="N68" s="381">
        <f t="shared" si="2"/>
        <v>7</v>
      </c>
      <c r="O68" s="1278"/>
    </row>
    <row r="69" spans="1:15" s="658" customFormat="1" ht="12" customHeight="1" x14ac:dyDescent="0.2">
      <c r="A69" s="653" t="s">
        <v>153</v>
      </c>
      <c r="B69" s="695" t="s">
        <v>156</v>
      </c>
      <c r="C69" s="654"/>
      <c r="D69" s="654" t="str">
        <f>'Order form'!S164</f>
        <v>HJ-14</v>
      </c>
      <c r="E69" s="654" t="s">
        <v>671</v>
      </c>
      <c r="F69" s="655">
        <f>'Order form'!S167</f>
        <v>4.12</v>
      </c>
      <c r="G69" s="655">
        <f t="shared" si="6"/>
        <v>0</v>
      </c>
      <c r="H69" s="702">
        <v>0.84480000000000011</v>
      </c>
      <c r="I69" s="656"/>
      <c r="J69" s="656" t="s">
        <v>375</v>
      </c>
      <c r="K69" s="656"/>
      <c r="L69" s="656"/>
      <c r="M69" s="657"/>
      <c r="N69" s="381">
        <f t="shared" si="2"/>
        <v>7</v>
      </c>
      <c r="O69" s="1278"/>
    </row>
    <row r="70" spans="1:15" s="658" customFormat="1" ht="12" customHeight="1" x14ac:dyDescent="0.2">
      <c r="A70" s="653" t="s">
        <v>153</v>
      </c>
      <c r="B70" s="695" t="s">
        <v>156</v>
      </c>
      <c r="C70" s="654"/>
      <c r="D70" s="654" t="str">
        <f>'Order form'!X164</f>
        <v>HJ-15</v>
      </c>
      <c r="E70" s="654" t="s">
        <v>672</v>
      </c>
      <c r="F70" s="655">
        <f>'Order form'!X167</f>
        <v>1.63</v>
      </c>
      <c r="G70" s="655">
        <f t="shared" si="6"/>
        <v>0</v>
      </c>
      <c r="H70" s="702">
        <v>0.20020000000000002</v>
      </c>
      <c r="I70" s="656"/>
      <c r="J70" s="656" t="s">
        <v>375</v>
      </c>
      <c r="K70" s="656"/>
      <c r="L70" s="656"/>
      <c r="M70" s="657"/>
      <c r="N70" s="381">
        <f t="shared" si="2"/>
        <v>7</v>
      </c>
      <c r="O70" s="1278"/>
    </row>
    <row r="71" spans="1:15" s="658" customFormat="1" ht="12" customHeight="1" x14ac:dyDescent="0.2">
      <c r="A71" s="653" t="s">
        <v>153</v>
      </c>
      <c r="B71" s="695" t="s">
        <v>156</v>
      </c>
      <c r="C71" s="654"/>
      <c r="D71" s="654" t="str">
        <f>'Order form'!D175</f>
        <v>HJ-17</v>
      </c>
      <c r="E71" s="654" t="s">
        <v>673</v>
      </c>
      <c r="F71" s="655">
        <f>'Order form'!D178</f>
        <v>1.53</v>
      </c>
      <c r="G71" s="655">
        <f t="shared" si="6"/>
        <v>0</v>
      </c>
      <c r="H71" s="702">
        <v>0.32340000000000008</v>
      </c>
      <c r="I71" s="656"/>
      <c r="J71" s="656" t="s">
        <v>375</v>
      </c>
      <c r="K71" s="656"/>
      <c r="L71" s="656"/>
      <c r="M71" s="657"/>
      <c r="N71" s="381">
        <f t="shared" si="2"/>
        <v>7</v>
      </c>
      <c r="O71" s="1278"/>
    </row>
    <row r="72" spans="1:15" s="658" customFormat="1" ht="12" customHeight="1" x14ac:dyDescent="0.2">
      <c r="A72" s="653" t="s">
        <v>153</v>
      </c>
      <c r="B72" s="695" t="s">
        <v>156</v>
      </c>
      <c r="C72" s="654"/>
      <c r="D72" s="654" t="str">
        <f>'Order form'!I175</f>
        <v>HJ-23</v>
      </c>
      <c r="E72" s="654" t="s">
        <v>839</v>
      </c>
      <c r="F72" s="655">
        <v>1.98</v>
      </c>
      <c r="G72" s="655">
        <f t="shared" si="6"/>
        <v>0</v>
      </c>
      <c r="H72" s="761" t="s">
        <v>952</v>
      </c>
      <c r="I72" s="656"/>
      <c r="J72" s="656" t="s">
        <v>375</v>
      </c>
      <c r="K72" s="656"/>
      <c r="L72" s="656"/>
      <c r="M72" s="657"/>
      <c r="N72" s="381">
        <f t="shared" si="2"/>
        <v>7</v>
      </c>
      <c r="O72" s="1278"/>
    </row>
    <row r="73" spans="1:15" s="658" customFormat="1" ht="12" customHeight="1" x14ac:dyDescent="0.2">
      <c r="A73" s="653" t="s">
        <v>153</v>
      </c>
      <c r="B73" s="695" t="s">
        <v>156</v>
      </c>
      <c r="C73" s="654"/>
      <c r="D73" s="654" t="s">
        <v>838</v>
      </c>
      <c r="E73" s="654" t="s">
        <v>917</v>
      </c>
      <c r="F73" s="655">
        <v>2.41</v>
      </c>
      <c r="G73" s="655">
        <f t="shared" si="6"/>
        <v>0</v>
      </c>
      <c r="H73" s="702" t="s">
        <v>953</v>
      </c>
      <c r="I73" s="656"/>
      <c r="J73" s="656" t="s">
        <v>375</v>
      </c>
      <c r="K73" s="656"/>
      <c r="L73" s="656"/>
      <c r="M73" s="657"/>
      <c r="N73" s="381">
        <f t="shared" si="2"/>
        <v>7</v>
      </c>
      <c r="O73" s="1278"/>
    </row>
    <row r="74" spans="1:15" s="658" customFormat="1" ht="12" customHeight="1" x14ac:dyDescent="0.2">
      <c r="A74" s="653" t="s">
        <v>153</v>
      </c>
      <c r="B74" s="695" t="s">
        <v>156</v>
      </c>
      <c r="C74" s="654"/>
      <c r="D74" s="654" t="str">
        <f>'Order form'!S175</f>
        <v>HJ-90</v>
      </c>
      <c r="E74" s="654" t="s">
        <v>674</v>
      </c>
      <c r="F74" s="655">
        <f>'Order form'!N178</f>
        <v>2.41</v>
      </c>
      <c r="G74" s="655">
        <f t="shared" si="6"/>
        <v>0</v>
      </c>
      <c r="H74" s="701">
        <v>0.4884</v>
      </c>
      <c r="I74" s="656"/>
      <c r="J74" s="656" t="s">
        <v>375</v>
      </c>
      <c r="K74" s="656"/>
      <c r="L74" s="656"/>
      <c r="M74" s="657"/>
      <c r="N74" s="381">
        <f t="shared" si="2"/>
        <v>7</v>
      </c>
      <c r="O74" s="1279"/>
    </row>
    <row r="75" spans="1:15" s="386" customFormat="1" ht="12" customHeight="1" x14ac:dyDescent="0.2">
      <c r="A75" s="379" t="s">
        <v>153</v>
      </c>
      <c r="B75" s="380" t="s">
        <v>156</v>
      </c>
      <c r="C75" s="381">
        <f>'Order form'!F189+('Order form'!F243*2)</f>
        <v>0</v>
      </c>
      <c r="D75" s="381" t="str">
        <f>'Order form'!D188</f>
        <v>H-1NP</v>
      </c>
      <c r="E75" s="381" t="s">
        <v>675</v>
      </c>
      <c r="F75" s="382">
        <f>'Order form'!D189</f>
        <v>0.66</v>
      </c>
      <c r="G75" s="382">
        <f t="shared" si="6"/>
        <v>0</v>
      </c>
      <c r="H75" s="383">
        <v>0.1474</v>
      </c>
      <c r="I75" s="384">
        <f t="shared" ref="I75:I95" si="7">C75*H75</f>
        <v>0</v>
      </c>
      <c r="J75" s="384" t="s">
        <v>22</v>
      </c>
      <c r="K75" s="384">
        <f>'Order form'!G190</f>
        <v>225</v>
      </c>
      <c r="L75" s="384">
        <f t="shared" ref="L75:L95" si="8">C75/K75</f>
        <v>0</v>
      </c>
      <c r="M75" s="385">
        <f t="shared" ref="M75:M95" si="9">K75*H75</f>
        <v>33.164999999999999</v>
      </c>
      <c r="N75" s="381">
        <f t="shared" si="2"/>
        <v>7</v>
      </c>
      <c r="O75" s="727"/>
    </row>
    <row r="76" spans="1:15" s="386" customFormat="1" ht="12" customHeight="1" x14ac:dyDescent="0.2">
      <c r="A76" s="379" t="s">
        <v>153</v>
      </c>
      <c r="B76" s="380" t="s">
        <v>156</v>
      </c>
      <c r="C76" s="381">
        <f>'Order form'!K189+('Order form'!K243*1)+('Order form'!P243*2)+('Order form'!Z243*4)</f>
        <v>0</v>
      </c>
      <c r="D76" s="381" t="str">
        <f>'Order form'!I188</f>
        <v>H-2NP</v>
      </c>
      <c r="E76" s="381" t="s">
        <v>676</v>
      </c>
      <c r="F76" s="382">
        <f>'Order form'!I189</f>
        <v>1.08</v>
      </c>
      <c r="G76" s="382">
        <f t="shared" si="6"/>
        <v>0</v>
      </c>
      <c r="H76" s="383">
        <v>0.20680000000000001</v>
      </c>
      <c r="I76" s="384">
        <f t="shared" si="7"/>
        <v>0</v>
      </c>
      <c r="J76" s="384" t="s">
        <v>22</v>
      </c>
      <c r="K76" s="384">
        <f>'Order form'!L190</f>
        <v>150</v>
      </c>
      <c r="L76" s="384">
        <f t="shared" si="8"/>
        <v>0</v>
      </c>
      <c r="M76" s="385">
        <f t="shared" si="9"/>
        <v>31.020000000000003</v>
      </c>
      <c r="N76" s="381">
        <f t="shared" si="2"/>
        <v>7</v>
      </c>
      <c r="O76" s="728"/>
    </row>
    <row r="77" spans="1:15" s="386" customFormat="1" ht="12" customHeight="1" x14ac:dyDescent="0.2">
      <c r="A77" s="379" t="s">
        <v>153</v>
      </c>
      <c r="B77" s="380" t="s">
        <v>156</v>
      </c>
      <c r="C77" s="381">
        <f>'Order form'!P189+('Order form'!K243*1)</f>
        <v>0</v>
      </c>
      <c r="D77" s="381" t="str">
        <f>'Order form'!N188</f>
        <v>H-3NP</v>
      </c>
      <c r="E77" s="381" t="s">
        <v>677</v>
      </c>
      <c r="F77" s="382">
        <f>'Order form'!N189</f>
        <v>1.1399999999999999</v>
      </c>
      <c r="G77" s="382">
        <f t="shared" si="6"/>
        <v>0</v>
      </c>
      <c r="H77" s="383">
        <v>0.26400000000000001</v>
      </c>
      <c r="I77" s="384">
        <f t="shared" si="7"/>
        <v>0</v>
      </c>
      <c r="J77" s="384" t="s">
        <v>22</v>
      </c>
      <c r="K77" s="384">
        <f>'Order form'!Q190</f>
        <v>60</v>
      </c>
      <c r="L77" s="384">
        <f t="shared" si="8"/>
        <v>0</v>
      </c>
      <c r="M77" s="385">
        <f t="shared" si="9"/>
        <v>15.84</v>
      </c>
      <c r="N77" s="381">
        <f t="shared" si="2"/>
        <v>7</v>
      </c>
      <c r="O77" s="728"/>
    </row>
    <row r="78" spans="1:15" s="386" customFormat="1" ht="12" customHeight="1" x14ac:dyDescent="0.2">
      <c r="A78" s="379" t="s">
        <v>153</v>
      </c>
      <c r="B78" s="380" t="s">
        <v>156</v>
      </c>
      <c r="C78" s="381">
        <f>'Order form'!U189+('Order form'!P243*1)+('Order form'!U243*2)</f>
        <v>0</v>
      </c>
      <c r="D78" s="381" t="str">
        <f>'Order form'!S188</f>
        <v>H-4NP</v>
      </c>
      <c r="E78" s="381" t="s">
        <v>678</v>
      </c>
      <c r="F78" s="382">
        <f>'Order form'!S189</f>
        <v>1.02</v>
      </c>
      <c r="G78" s="382">
        <f t="shared" si="6"/>
        <v>0</v>
      </c>
      <c r="H78" s="383">
        <v>0.23320000000000002</v>
      </c>
      <c r="I78" s="384">
        <f t="shared" si="7"/>
        <v>0</v>
      </c>
      <c r="J78" s="384" t="s">
        <v>22</v>
      </c>
      <c r="K78" s="384">
        <f>'Order form'!V190</f>
        <v>150</v>
      </c>
      <c r="L78" s="384">
        <f t="shared" si="8"/>
        <v>0</v>
      </c>
      <c r="M78" s="385">
        <f t="shared" si="9"/>
        <v>34.980000000000004</v>
      </c>
      <c r="N78" s="381">
        <f t="shared" si="2"/>
        <v>7</v>
      </c>
      <c r="O78" s="728"/>
    </row>
    <row r="79" spans="1:15" s="386" customFormat="1" ht="12" customHeight="1" x14ac:dyDescent="0.2">
      <c r="A79" s="379" t="s">
        <v>153</v>
      </c>
      <c r="B79" s="380" t="s">
        <v>156</v>
      </c>
      <c r="C79" s="381">
        <f>'Order form'!Z189+('Order form'!F254*2)</f>
        <v>0</v>
      </c>
      <c r="D79" s="381" t="str">
        <f>'Order form'!X188</f>
        <v>H-5NP</v>
      </c>
      <c r="E79" s="381" t="s">
        <v>679</v>
      </c>
      <c r="F79" s="382">
        <f>'Order form'!X189</f>
        <v>0.62</v>
      </c>
      <c r="G79" s="382">
        <f t="shared" si="6"/>
        <v>0</v>
      </c>
      <c r="H79" s="383">
        <v>9.9000000000000005E-2</v>
      </c>
      <c r="I79" s="384">
        <f t="shared" si="7"/>
        <v>0</v>
      </c>
      <c r="J79" s="384" t="s">
        <v>22</v>
      </c>
      <c r="K79" s="384">
        <f>'Order form'!AA190</f>
        <v>225</v>
      </c>
      <c r="L79" s="384">
        <f t="shared" si="8"/>
        <v>0</v>
      </c>
      <c r="M79" s="385">
        <f t="shared" si="9"/>
        <v>22.275000000000002</v>
      </c>
      <c r="N79" s="381">
        <f t="shared" si="2"/>
        <v>7</v>
      </c>
      <c r="O79" s="728"/>
    </row>
    <row r="80" spans="1:15" s="386" customFormat="1" ht="12" customHeight="1" x14ac:dyDescent="0.2">
      <c r="A80" s="379" t="s">
        <v>153</v>
      </c>
      <c r="B80" s="380" t="s">
        <v>156</v>
      </c>
      <c r="C80" s="381">
        <f>'Order form'!F199+('Order form'!F254*2)+('Order form'!K254*2)+('Order form'!U265*4)</f>
        <v>0</v>
      </c>
      <c r="D80" s="381" t="str">
        <f>'Order form'!D198</f>
        <v>H-6NP</v>
      </c>
      <c r="E80" s="381" t="s">
        <v>680</v>
      </c>
      <c r="F80" s="382">
        <f>'Order form'!D199</f>
        <v>0.62</v>
      </c>
      <c r="G80" s="382">
        <f t="shared" si="6"/>
        <v>0</v>
      </c>
      <c r="H80" s="383">
        <v>0.1298</v>
      </c>
      <c r="I80" s="384">
        <f t="shared" si="7"/>
        <v>0</v>
      </c>
      <c r="J80" s="384" t="s">
        <v>22</v>
      </c>
      <c r="K80" s="384">
        <f>'Order form'!G200</f>
        <v>225</v>
      </c>
      <c r="L80" s="384">
        <f t="shared" si="8"/>
        <v>0</v>
      </c>
      <c r="M80" s="385">
        <f t="shared" si="9"/>
        <v>29.204999999999998</v>
      </c>
      <c r="N80" s="381">
        <f t="shared" ref="N80:N143" si="10">IF(C80=0,N79,N79+1)</f>
        <v>7</v>
      </c>
      <c r="O80" s="728"/>
    </row>
    <row r="81" spans="1:15" s="386" customFormat="1" ht="12" customHeight="1" x14ac:dyDescent="0.2">
      <c r="A81" s="379" t="s">
        <v>153</v>
      </c>
      <c r="B81" s="380" t="s">
        <v>156</v>
      </c>
      <c r="C81" s="381">
        <f>'Order form'!K199+('Order form'!K254*2)</f>
        <v>0</v>
      </c>
      <c r="D81" s="381" t="str">
        <f>'Order form'!I198</f>
        <v>H-6ANP</v>
      </c>
      <c r="E81" s="381" t="s">
        <v>681</v>
      </c>
      <c r="F81" s="382">
        <f>'Order form'!I199</f>
        <v>0.8</v>
      </c>
      <c r="G81" s="382">
        <f t="shared" ref="G81:G177" si="11">F81*C81</f>
        <v>0</v>
      </c>
      <c r="H81" s="383">
        <v>0.14520000000000002</v>
      </c>
      <c r="I81" s="384">
        <f t="shared" si="7"/>
        <v>0</v>
      </c>
      <c r="J81" s="384" t="s">
        <v>22</v>
      </c>
      <c r="K81" s="384">
        <f>'Order form'!L200</f>
        <v>180</v>
      </c>
      <c r="L81" s="384">
        <f t="shared" si="8"/>
        <v>0</v>
      </c>
      <c r="M81" s="385">
        <f t="shared" si="9"/>
        <v>26.136000000000003</v>
      </c>
      <c r="N81" s="381">
        <f t="shared" si="10"/>
        <v>7</v>
      </c>
      <c r="O81" s="728"/>
    </row>
    <row r="82" spans="1:15" s="386" customFormat="1" ht="12" customHeight="1" x14ac:dyDescent="0.2">
      <c r="A82" s="379" t="s">
        <v>153</v>
      </c>
      <c r="B82" s="380" t="s">
        <v>156</v>
      </c>
      <c r="C82" s="381">
        <f>'Order form'!P199+('Order form'!P254*2)</f>
        <v>0</v>
      </c>
      <c r="D82" s="381" t="str">
        <f>'Order form'!N198</f>
        <v>H-7NP</v>
      </c>
      <c r="E82" s="381" t="s">
        <v>682</v>
      </c>
      <c r="F82" s="382">
        <f>'Order form'!N199</f>
        <v>0.66</v>
      </c>
      <c r="G82" s="382">
        <f t="shared" si="11"/>
        <v>0</v>
      </c>
      <c r="H82" s="383">
        <v>0.10560000000000001</v>
      </c>
      <c r="I82" s="384">
        <f t="shared" si="7"/>
        <v>0</v>
      </c>
      <c r="J82" s="384" t="s">
        <v>22</v>
      </c>
      <c r="K82" s="384">
        <f>'Order form'!Q200</f>
        <v>150</v>
      </c>
      <c r="L82" s="384">
        <f t="shared" si="8"/>
        <v>0</v>
      </c>
      <c r="M82" s="385">
        <f t="shared" si="9"/>
        <v>15.840000000000002</v>
      </c>
      <c r="N82" s="381">
        <f t="shared" si="10"/>
        <v>7</v>
      </c>
      <c r="O82" s="728"/>
    </row>
    <row r="83" spans="1:15" s="386" customFormat="1" ht="12" customHeight="1" x14ac:dyDescent="0.2">
      <c r="A83" s="379" t="s">
        <v>153</v>
      </c>
      <c r="B83" s="380" t="s">
        <v>156</v>
      </c>
      <c r="C83" s="381">
        <f>'Order form'!U199+('Order form'!U254*2)</f>
        <v>0</v>
      </c>
      <c r="D83" s="381" t="str">
        <f>'Order form'!S198</f>
        <v>H-7ANP</v>
      </c>
      <c r="E83" s="381" t="s">
        <v>683</v>
      </c>
      <c r="F83" s="382">
        <f>'Order form'!S199</f>
        <v>0.9</v>
      </c>
      <c r="G83" s="382">
        <f t="shared" si="11"/>
        <v>0</v>
      </c>
      <c r="H83" s="383">
        <v>8.8000000000000009E-2</v>
      </c>
      <c r="I83" s="384">
        <f t="shared" si="7"/>
        <v>0</v>
      </c>
      <c r="J83" s="384" t="s">
        <v>22</v>
      </c>
      <c r="K83" s="384">
        <f>'Order form'!V200</f>
        <v>225</v>
      </c>
      <c r="L83" s="384">
        <f t="shared" si="8"/>
        <v>0</v>
      </c>
      <c r="M83" s="385">
        <f t="shared" si="9"/>
        <v>19.8</v>
      </c>
      <c r="N83" s="381">
        <f t="shared" si="10"/>
        <v>7</v>
      </c>
      <c r="O83" s="728"/>
    </row>
    <row r="84" spans="1:15" s="386" customFormat="1" ht="12" customHeight="1" x14ac:dyDescent="0.2">
      <c r="A84" s="379" t="s">
        <v>153</v>
      </c>
      <c r="B84" s="380" t="s">
        <v>156</v>
      </c>
      <c r="C84" s="381">
        <f>'Order form'!Z199+('Order form'!Z254)</f>
        <v>0</v>
      </c>
      <c r="D84" s="381" t="str">
        <f>'Order form'!X198</f>
        <v>H-8NP</v>
      </c>
      <c r="E84" s="381" t="s">
        <v>684</v>
      </c>
      <c r="F84" s="382">
        <f>'Order form'!X199</f>
        <v>1.05</v>
      </c>
      <c r="G84" s="382">
        <f t="shared" si="11"/>
        <v>0</v>
      </c>
      <c r="H84" s="383">
        <v>0.14740000000000003</v>
      </c>
      <c r="I84" s="384">
        <f t="shared" si="7"/>
        <v>0</v>
      </c>
      <c r="J84" s="384" t="s">
        <v>22</v>
      </c>
      <c r="K84" s="384">
        <f>'Order form'!AA200</f>
        <v>180</v>
      </c>
      <c r="L84" s="384">
        <f t="shared" si="8"/>
        <v>0</v>
      </c>
      <c r="M84" s="385">
        <f t="shared" si="9"/>
        <v>26.532000000000007</v>
      </c>
      <c r="N84" s="381">
        <f t="shared" si="10"/>
        <v>7</v>
      </c>
      <c r="O84" s="728"/>
    </row>
    <row r="85" spans="1:15" s="386" customFormat="1" ht="12" customHeight="1" x14ac:dyDescent="0.2">
      <c r="A85" s="379" t="s">
        <v>153</v>
      </c>
      <c r="B85" s="380" t="s">
        <v>156</v>
      </c>
      <c r="C85" s="381">
        <f>'Order form'!F209+('Order form'!Z254)+('Order form'!F265*2)</f>
        <v>0</v>
      </c>
      <c r="D85" s="381" t="str">
        <f>'Order form'!D208:G208</f>
        <v>H-9NP</v>
      </c>
      <c r="E85" s="381" t="s">
        <v>685</v>
      </c>
      <c r="F85" s="382">
        <f>'Order form'!D209</f>
        <v>1.05</v>
      </c>
      <c r="G85" s="382">
        <f t="shared" si="11"/>
        <v>0</v>
      </c>
      <c r="H85" s="383">
        <v>0.13640000000000002</v>
      </c>
      <c r="I85" s="384">
        <f t="shared" si="7"/>
        <v>0</v>
      </c>
      <c r="J85" s="384" t="s">
        <v>22</v>
      </c>
      <c r="K85" s="384">
        <f>'Order form'!G210</f>
        <v>245</v>
      </c>
      <c r="L85" s="384">
        <f t="shared" si="8"/>
        <v>0</v>
      </c>
      <c r="M85" s="385">
        <f t="shared" si="9"/>
        <v>33.418000000000006</v>
      </c>
      <c r="N85" s="381">
        <f t="shared" si="10"/>
        <v>7</v>
      </c>
      <c r="O85" s="728"/>
    </row>
    <row r="86" spans="1:15" s="386" customFormat="1" ht="12" customHeight="1" x14ac:dyDescent="0.2">
      <c r="A86" s="379" t="s">
        <v>153</v>
      </c>
      <c r="B86" s="380" t="s">
        <v>156</v>
      </c>
      <c r="C86" s="381">
        <f>'Order form'!K209+('Order form'!K265*2)</f>
        <v>0</v>
      </c>
      <c r="D86" s="381" t="str">
        <f>'Order form'!I208</f>
        <v>H-12NP</v>
      </c>
      <c r="E86" s="381" t="s">
        <v>686</v>
      </c>
      <c r="F86" s="382">
        <f>'Order form'!I209</f>
        <v>0.88</v>
      </c>
      <c r="G86" s="382">
        <f t="shared" si="11"/>
        <v>0</v>
      </c>
      <c r="H86" s="383">
        <v>0.1386</v>
      </c>
      <c r="I86" s="384">
        <f t="shared" si="7"/>
        <v>0</v>
      </c>
      <c r="J86" s="384" t="s">
        <v>22</v>
      </c>
      <c r="K86" s="384">
        <f>'Order form'!L210</f>
        <v>180</v>
      </c>
      <c r="L86" s="384">
        <f t="shared" si="8"/>
        <v>0</v>
      </c>
      <c r="M86" s="385">
        <f t="shared" si="9"/>
        <v>24.948</v>
      </c>
      <c r="N86" s="381">
        <f t="shared" si="10"/>
        <v>7</v>
      </c>
      <c r="O86" s="728"/>
    </row>
    <row r="87" spans="1:15" s="386" customFormat="1" ht="12" customHeight="1" x14ac:dyDescent="0.2">
      <c r="A87" s="379" t="s">
        <v>153</v>
      </c>
      <c r="B87" s="380" t="s">
        <v>156</v>
      </c>
      <c r="C87" s="381">
        <f>'Order form'!P209+('Order form'!P265*2)</f>
        <v>0</v>
      </c>
      <c r="D87" s="381" t="str">
        <f>'Order form'!N208</f>
        <v>H-13NP</v>
      </c>
      <c r="E87" s="381" t="s">
        <v>687</v>
      </c>
      <c r="F87" s="382">
        <f>'Order form'!N209</f>
        <v>0.83</v>
      </c>
      <c r="G87" s="382">
        <f t="shared" si="11"/>
        <v>0</v>
      </c>
      <c r="H87" s="383">
        <v>0.11660000000000001</v>
      </c>
      <c r="I87" s="384">
        <f t="shared" si="7"/>
        <v>0</v>
      </c>
      <c r="J87" s="384" t="s">
        <v>22</v>
      </c>
      <c r="K87" s="384">
        <f>'Order form'!Q210</f>
        <v>225</v>
      </c>
      <c r="L87" s="384">
        <f t="shared" si="8"/>
        <v>0</v>
      </c>
      <c r="M87" s="385">
        <f t="shared" si="9"/>
        <v>26.235000000000003</v>
      </c>
      <c r="N87" s="381">
        <f t="shared" si="10"/>
        <v>7</v>
      </c>
      <c r="O87" s="728"/>
    </row>
    <row r="88" spans="1:15" s="386" customFormat="1" ht="12" customHeight="1" x14ac:dyDescent="0.2">
      <c r="A88" s="379" t="s">
        <v>153</v>
      </c>
      <c r="B88" s="380" t="s">
        <v>156</v>
      </c>
      <c r="C88" s="381">
        <f>'Order form'!U209+('Order form'!U265*2)</f>
        <v>0</v>
      </c>
      <c r="D88" s="381" t="str">
        <f>'Order form'!S208</f>
        <v>H-14NP</v>
      </c>
      <c r="E88" s="381" t="s">
        <v>688</v>
      </c>
      <c r="F88" s="382">
        <f>'Order form'!S209</f>
        <v>1.02</v>
      </c>
      <c r="G88" s="382">
        <f t="shared" si="11"/>
        <v>0</v>
      </c>
      <c r="H88" s="383">
        <v>0.12320000000000002</v>
      </c>
      <c r="I88" s="384">
        <f t="shared" si="7"/>
        <v>0</v>
      </c>
      <c r="J88" s="384" t="s">
        <v>22</v>
      </c>
      <c r="K88" s="384">
        <f>'Order form'!V210</f>
        <v>240</v>
      </c>
      <c r="L88" s="384">
        <f t="shared" si="8"/>
        <v>0</v>
      </c>
      <c r="M88" s="385">
        <f t="shared" si="9"/>
        <v>29.568000000000005</v>
      </c>
      <c r="N88" s="381">
        <f t="shared" si="10"/>
        <v>7</v>
      </c>
      <c r="O88" s="728"/>
    </row>
    <row r="89" spans="1:15" s="386" customFormat="1" ht="12" customHeight="1" x14ac:dyDescent="0.2">
      <c r="A89" s="379" t="s">
        <v>153</v>
      </c>
      <c r="B89" s="380" t="s">
        <v>156</v>
      </c>
      <c r="C89" s="381">
        <f>'Order form'!Z209+'Order form'!Z265</f>
        <v>0</v>
      </c>
      <c r="D89" s="381" t="str">
        <f>'Order form'!X208</f>
        <v>H-15NP</v>
      </c>
      <c r="E89" s="381" t="s">
        <v>689</v>
      </c>
      <c r="F89" s="382">
        <f>'Order form'!X209</f>
        <v>0.9</v>
      </c>
      <c r="G89" s="382">
        <f t="shared" si="11"/>
        <v>0</v>
      </c>
      <c r="H89" s="383">
        <v>8.3600000000000008E-2</v>
      </c>
      <c r="I89" s="384">
        <f t="shared" si="7"/>
        <v>0</v>
      </c>
      <c r="J89" s="384" t="s">
        <v>22</v>
      </c>
      <c r="K89" s="384">
        <f>'Order form'!AA210</f>
        <v>300</v>
      </c>
      <c r="L89" s="384">
        <f t="shared" si="8"/>
        <v>0</v>
      </c>
      <c r="M89" s="385">
        <f t="shared" si="9"/>
        <v>25.080000000000002</v>
      </c>
      <c r="N89" s="381">
        <f t="shared" si="10"/>
        <v>7</v>
      </c>
      <c r="O89" s="728"/>
    </row>
    <row r="90" spans="1:15" s="386" customFormat="1" ht="12" customHeight="1" x14ac:dyDescent="0.2">
      <c r="A90" s="379" t="s">
        <v>153</v>
      </c>
      <c r="B90" s="380" t="s">
        <v>156</v>
      </c>
      <c r="C90" s="381">
        <f>'Order form'!F219+'Order form'!Z265</f>
        <v>0</v>
      </c>
      <c r="D90" s="381" t="str">
        <f>'Order form'!D218:G218</f>
        <v>H-16NP</v>
      </c>
      <c r="E90" s="381" t="s">
        <v>690</v>
      </c>
      <c r="F90" s="382">
        <f>'Order form'!D219</f>
        <v>0.85</v>
      </c>
      <c r="G90" s="382">
        <f t="shared" si="11"/>
        <v>0</v>
      </c>
      <c r="H90" s="383">
        <v>0.10120000000000001</v>
      </c>
      <c r="I90" s="384">
        <f t="shared" si="7"/>
        <v>0</v>
      </c>
      <c r="J90" s="384" t="s">
        <v>22</v>
      </c>
      <c r="K90" s="384">
        <f>'Order form'!G220</f>
        <v>300</v>
      </c>
      <c r="L90" s="384">
        <f t="shared" si="8"/>
        <v>0</v>
      </c>
      <c r="M90" s="385">
        <f t="shared" si="9"/>
        <v>30.360000000000003</v>
      </c>
      <c r="N90" s="381">
        <f t="shared" si="10"/>
        <v>7</v>
      </c>
      <c r="O90" s="728"/>
    </row>
    <row r="91" spans="1:15" s="386" customFormat="1" ht="12" customHeight="1" x14ac:dyDescent="0.2">
      <c r="A91" s="379" t="s">
        <v>153</v>
      </c>
      <c r="B91" s="380" t="s">
        <v>156</v>
      </c>
      <c r="C91" s="381">
        <f>'Order form'!K219+'Order form'!F276</f>
        <v>0</v>
      </c>
      <c r="D91" s="381" t="str">
        <f>'Order form'!I218</f>
        <v>H-17NP</v>
      </c>
      <c r="E91" s="381" t="s">
        <v>691</v>
      </c>
      <c r="F91" s="382">
        <f>'Order form'!I219</f>
        <v>0.81</v>
      </c>
      <c r="G91" s="382">
        <f t="shared" si="11"/>
        <v>0</v>
      </c>
      <c r="H91" s="383">
        <v>0.15180000000000002</v>
      </c>
      <c r="I91" s="384">
        <f t="shared" si="7"/>
        <v>0</v>
      </c>
      <c r="J91" s="384" t="s">
        <v>22</v>
      </c>
      <c r="K91" s="384">
        <f>'Order form'!L220</f>
        <v>145</v>
      </c>
      <c r="L91" s="384">
        <f t="shared" si="8"/>
        <v>0</v>
      </c>
      <c r="M91" s="385">
        <f t="shared" si="9"/>
        <v>22.011000000000003</v>
      </c>
      <c r="N91" s="381">
        <f t="shared" si="10"/>
        <v>7</v>
      </c>
      <c r="O91" s="728"/>
    </row>
    <row r="92" spans="1:15" s="386" customFormat="1" ht="12" customHeight="1" x14ac:dyDescent="0.2">
      <c r="A92" s="379" t="s">
        <v>153</v>
      </c>
      <c r="B92" s="380" t="s">
        <v>156</v>
      </c>
      <c r="C92" s="381">
        <f>'Order form'!P219+'Order form'!F276</f>
        <v>0</v>
      </c>
      <c r="D92" s="381" t="str">
        <f>'Order form'!N218</f>
        <v>H-18NP</v>
      </c>
      <c r="E92" s="381" t="s">
        <v>692</v>
      </c>
      <c r="F92" s="382">
        <f>'Order form'!N219</f>
        <v>0.81</v>
      </c>
      <c r="G92" s="382">
        <f t="shared" si="11"/>
        <v>0</v>
      </c>
      <c r="H92" s="383">
        <v>0.15180000000000002</v>
      </c>
      <c r="I92" s="384">
        <f t="shared" si="7"/>
        <v>0</v>
      </c>
      <c r="J92" s="384" t="s">
        <v>22</v>
      </c>
      <c r="K92" s="384">
        <f>'Order form'!Q220</f>
        <v>145</v>
      </c>
      <c r="L92" s="384">
        <f t="shared" si="8"/>
        <v>0</v>
      </c>
      <c r="M92" s="385">
        <f t="shared" si="9"/>
        <v>22.011000000000003</v>
      </c>
      <c r="N92" s="381">
        <f t="shared" si="10"/>
        <v>7</v>
      </c>
      <c r="O92" s="728"/>
    </row>
    <row r="93" spans="1:15" s="386" customFormat="1" ht="12" customHeight="1" x14ac:dyDescent="0.2">
      <c r="A93" s="379" t="s">
        <v>153</v>
      </c>
      <c r="B93" s="380" t="s">
        <v>156</v>
      </c>
      <c r="C93" s="381">
        <f>'Order form'!U219+('Order form'!K276*2)</f>
        <v>0</v>
      </c>
      <c r="D93" s="381" t="str">
        <f>'Order form'!S218</f>
        <v>H-23NP</v>
      </c>
      <c r="E93" s="381" t="s">
        <v>844</v>
      </c>
      <c r="F93" s="382">
        <f>'Order form'!S219</f>
        <v>1</v>
      </c>
      <c r="G93" s="382">
        <f t="shared" si="11"/>
        <v>0</v>
      </c>
      <c r="H93" s="383">
        <v>0.13640000000000002</v>
      </c>
      <c r="I93" s="384">
        <f t="shared" si="7"/>
        <v>0</v>
      </c>
      <c r="J93" s="384" t="s">
        <v>22</v>
      </c>
      <c r="K93" s="384">
        <f>'Order form'!V220</f>
        <v>120</v>
      </c>
      <c r="L93" s="384">
        <f t="shared" si="8"/>
        <v>0</v>
      </c>
      <c r="M93" s="385">
        <f t="shared" si="9"/>
        <v>16.368000000000002</v>
      </c>
      <c r="N93" s="381">
        <f t="shared" si="10"/>
        <v>7</v>
      </c>
      <c r="O93" s="728"/>
    </row>
    <row r="94" spans="1:15" s="386" customFormat="1" ht="12" customHeight="1" x14ac:dyDescent="0.2">
      <c r="A94" s="379" t="s">
        <v>153</v>
      </c>
      <c r="B94" s="380" t="s">
        <v>156</v>
      </c>
      <c r="C94" s="381">
        <f>'Order form'!Z219+('Order form'!P276*2)</f>
        <v>0</v>
      </c>
      <c r="D94" s="381" t="str">
        <f>'Order form'!X218</f>
        <v>H-24NP</v>
      </c>
      <c r="E94" s="381" t="s">
        <v>845</v>
      </c>
      <c r="F94" s="382">
        <f>'Order form'!X219</f>
        <v>1.1499999999999999</v>
      </c>
      <c r="G94" s="382">
        <f t="shared" si="11"/>
        <v>0</v>
      </c>
      <c r="H94" s="383">
        <v>0.49368000000000001</v>
      </c>
      <c r="I94" s="384">
        <f t="shared" si="7"/>
        <v>0</v>
      </c>
      <c r="J94" s="384" t="s">
        <v>22</v>
      </c>
      <c r="K94" s="384">
        <f>'Order form'!AA220</f>
        <v>150</v>
      </c>
      <c r="L94" s="384">
        <f t="shared" si="8"/>
        <v>0</v>
      </c>
      <c r="M94" s="385">
        <f t="shared" si="9"/>
        <v>74.052000000000007</v>
      </c>
      <c r="N94" s="381">
        <f t="shared" si="10"/>
        <v>7</v>
      </c>
      <c r="O94" s="392"/>
    </row>
    <row r="95" spans="1:15" s="386" customFormat="1" ht="12" customHeight="1" x14ac:dyDescent="0.2">
      <c r="A95" s="379" t="s">
        <v>153</v>
      </c>
      <c r="B95" s="380" t="s">
        <v>156</v>
      </c>
      <c r="C95" s="381">
        <f>'Order form'!F229+('Order form'!U276*2)</f>
        <v>0</v>
      </c>
      <c r="D95" s="381" t="str">
        <f>'Order form'!D228</f>
        <v>H-90NP</v>
      </c>
      <c r="E95" s="381" t="s">
        <v>846</v>
      </c>
      <c r="F95" s="382">
        <f>'Order form'!D229</f>
        <v>1.1599999999999999</v>
      </c>
      <c r="G95" s="382">
        <f t="shared" si="11"/>
        <v>0</v>
      </c>
      <c r="H95" s="383">
        <v>0.224</v>
      </c>
      <c r="I95" s="384">
        <f t="shared" si="7"/>
        <v>0</v>
      </c>
      <c r="J95" s="384" t="s">
        <v>22</v>
      </c>
      <c r="K95" s="384">
        <f>'Order form'!G230</f>
        <v>100</v>
      </c>
      <c r="L95" s="384">
        <f t="shared" si="8"/>
        <v>0</v>
      </c>
      <c r="M95" s="385">
        <f t="shared" si="9"/>
        <v>22.400000000000002</v>
      </c>
      <c r="N95" s="381">
        <f t="shared" si="10"/>
        <v>7</v>
      </c>
      <c r="O95" s="392"/>
    </row>
    <row r="96" spans="1:15" s="649" customFormat="1" ht="12" customHeight="1" x14ac:dyDescent="0.2">
      <c r="A96" s="379" t="s">
        <v>153</v>
      </c>
      <c r="B96" s="380"/>
      <c r="C96" s="381"/>
      <c r="D96" s="381" t="str">
        <f>'Order form'!D240</f>
        <v>HJ-1NP</v>
      </c>
      <c r="E96" s="381" t="s">
        <v>693</v>
      </c>
      <c r="F96" s="382">
        <f>'Order form'!D243</f>
        <v>1.45</v>
      </c>
      <c r="G96" s="382">
        <f t="shared" si="11"/>
        <v>0</v>
      </c>
      <c r="H96" s="383">
        <v>0.31460000000000005</v>
      </c>
      <c r="I96" s="384"/>
      <c r="J96" s="384" t="s">
        <v>375</v>
      </c>
      <c r="K96" s="384"/>
      <c r="L96" s="384"/>
      <c r="M96" s="385"/>
      <c r="N96" s="381">
        <f t="shared" si="10"/>
        <v>7</v>
      </c>
      <c r="O96" s="392"/>
    </row>
    <row r="97" spans="1:15" s="649" customFormat="1" ht="12" customHeight="1" x14ac:dyDescent="0.2">
      <c r="A97" s="379" t="s">
        <v>153</v>
      </c>
      <c r="B97" s="380"/>
      <c r="C97" s="381"/>
      <c r="D97" s="381" t="str">
        <f>'Order form'!I240</f>
        <v>HJ-2NP</v>
      </c>
      <c r="E97" s="381" t="s">
        <v>694</v>
      </c>
      <c r="F97" s="382">
        <f>'Order form'!I243</f>
        <v>2.48</v>
      </c>
      <c r="G97" s="382">
        <f t="shared" si="11"/>
        <v>0</v>
      </c>
      <c r="H97" s="383">
        <v>0.51039999999999996</v>
      </c>
      <c r="I97" s="384"/>
      <c r="J97" s="384" t="s">
        <v>375</v>
      </c>
      <c r="K97" s="384"/>
      <c r="L97" s="384"/>
      <c r="M97" s="385"/>
      <c r="N97" s="381">
        <f t="shared" si="10"/>
        <v>7</v>
      </c>
      <c r="O97" s="392"/>
    </row>
    <row r="98" spans="1:15" s="649" customFormat="1" ht="12" customHeight="1" x14ac:dyDescent="0.2">
      <c r="A98" s="379" t="s">
        <v>153</v>
      </c>
      <c r="B98" s="380"/>
      <c r="C98" s="381"/>
      <c r="D98" s="381" t="str">
        <f>'Order form'!N240</f>
        <v>HJ-3NP</v>
      </c>
      <c r="E98" s="381" t="s">
        <v>695</v>
      </c>
      <c r="F98" s="382">
        <f>'Order form'!N243</f>
        <v>3.57</v>
      </c>
      <c r="G98" s="382">
        <f t="shared" si="11"/>
        <v>0</v>
      </c>
      <c r="H98" s="383">
        <v>0.70620000000000005</v>
      </c>
      <c r="I98" s="384"/>
      <c r="J98" s="384" t="s">
        <v>375</v>
      </c>
      <c r="K98" s="384"/>
      <c r="L98" s="384"/>
      <c r="M98" s="385"/>
      <c r="N98" s="381">
        <f t="shared" si="10"/>
        <v>7</v>
      </c>
      <c r="O98" s="392"/>
    </row>
    <row r="99" spans="1:15" s="649" customFormat="1" ht="12" customHeight="1" x14ac:dyDescent="0.2">
      <c r="A99" s="379" t="s">
        <v>153</v>
      </c>
      <c r="B99" s="380"/>
      <c r="C99" s="381"/>
      <c r="D99" s="381" t="str">
        <f>'Order form'!S240</f>
        <v>HJ-4NP</v>
      </c>
      <c r="E99" s="381" t="s">
        <v>696</v>
      </c>
      <c r="F99" s="382">
        <f>'Order form'!S243</f>
        <v>2.2999999999999998</v>
      </c>
      <c r="G99" s="382">
        <f t="shared" si="11"/>
        <v>0</v>
      </c>
      <c r="H99" s="383">
        <v>0.50600000000000001</v>
      </c>
      <c r="I99" s="384"/>
      <c r="J99" s="384" t="s">
        <v>375</v>
      </c>
      <c r="K99" s="384"/>
      <c r="L99" s="384"/>
      <c r="M99" s="385"/>
      <c r="N99" s="381">
        <f t="shared" si="10"/>
        <v>7</v>
      </c>
      <c r="O99" s="392"/>
    </row>
    <row r="100" spans="1:15" s="649" customFormat="1" ht="12" customHeight="1" x14ac:dyDescent="0.2">
      <c r="A100" s="379" t="s">
        <v>153</v>
      </c>
      <c r="B100" s="380"/>
      <c r="C100" s="381"/>
      <c r="D100" s="381" t="str">
        <f>'Order form'!X240</f>
        <v>HJ-5NP</v>
      </c>
      <c r="E100" s="381" t="s">
        <v>697</v>
      </c>
      <c r="F100" s="382">
        <f>'Order form'!X243</f>
        <v>4.84</v>
      </c>
      <c r="G100" s="382">
        <f t="shared" si="11"/>
        <v>0</v>
      </c>
      <c r="H100" s="383">
        <v>0.90640000000000009</v>
      </c>
      <c r="I100" s="384"/>
      <c r="J100" s="384" t="s">
        <v>375</v>
      </c>
      <c r="K100" s="384"/>
      <c r="L100" s="384"/>
      <c r="M100" s="385"/>
      <c r="N100" s="381">
        <f t="shared" si="10"/>
        <v>7</v>
      </c>
      <c r="O100" s="392"/>
    </row>
    <row r="101" spans="1:15" s="649" customFormat="1" ht="12" customHeight="1" x14ac:dyDescent="0.2">
      <c r="A101" s="379" t="s">
        <v>153</v>
      </c>
      <c r="B101" s="380"/>
      <c r="C101" s="381"/>
      <c r="D101" s="381" t="str">
        <f>'Order form'!D251</f>
        <v>HJ-6NP</v>
      </c>
      <c r="E101" s="381" t="s">
        <v>698</v>
      </c>
      <c r="F101" s="382">
        <f>'Order form'!D254</f>
        <v>2.74</v>
      </c>
      <c r="G101" s="382">
        <f t="shared" si="11"/>
        <v>0</v>
      </c>
      <c r="H101" s="383">
        <v>0.49719999999999998</v>
      </c>
      <c r="I101" s="384"/>
      <c r="J101" s="384" t="s">
        <v>375</v>
      </c>
      <c r="K101" s="384"/>
      <c r="L101" s="384"/>
      <c r="M101" s="385"/>
      <c r="N101" s="381">
        <f t="shared" si="10"/>
        <v>7</v>
      </c>
      <c r="O101" s="392"/>
    </row>
    <row r="102" spans="1:15" s="649" customFormat="1" ht="12" customHeight="1" x14ac:dyDescent="0.2">
      <c r="A102" s="379" t="s">
        <v>153</v>
      </c>
      <c r="B102" s="380"/>
      <c r="C102" s="381"/>
      <c r="D102" s="381" t="str">
        <f>'Order form'!I251</f>
        <v>HJ-6ANP</v>
      </c>
      <c r="E102" s="381" t="s">
        <v>699</v>
      </c>
      <c r="F102" s="382">
        <f>'Order form'!I254</f>
        <v>3.23</v>
      </c>
      <c r="G102" s="382">
        <f t="shared" si="11"/>
        <v>0</v>
      </c>
      <c r="H102" s="383">
        <v>0.60940000000000005</v>
      </c>
      <c r="I102" s="384"/>
      <c r="J102" s="384" t="s">
        <v>375</v>
      </c>
      <c r="K102" s="384"/>
      <c r="L102" s="384"/>
      <c r="M102" s="385"/>
      <c r="N102" s="381">
        <f t="shared" si="10"/>
        <v>7</v>
      </c>
      <c r="O102" s="392"/>
    </row>
    <row r="103" spans="1:15" s="649" customFormat="1" ht="12" customHeight="1" x14ac:dyDescent="0.2">
      <c r="A103" s="379" t="s">
        <v>153</v>
      </c>
      <c r="B103" s="380"/>
      <c r="C103" s="381"/>
      <c r="D103" s="381" t="str">
        <f>'Order form'!N251</f>
        <v>HJ-7NP</v>
      </c>
      <c r="E103" s="381" t="s">
        <v>700</v>
      </c>
      <c r="F103" s="382">
        <f>'Order form'!N254</f>
        <v>1.45</v>
      </c>
      <c r="G103" s="382">
        <f t="shared" si="11"/>
        <v>0</v>
      </c>
      <c r="H103" s="383">
        <v>0.23100000000000004</v>
      </c>
      <c r="I103" s="384"/>
      <c r="J103" s="384" t="s">
        <v>375</v>
      </c>
      <c r="K103" s="384"/>
      <c r="L103" s="384"/>
      <c r="M103" s="385"/>
      <c r="N103" s="381">
        <f t="shared" si="10"/>
        <v>7</v>
      </c>
      <c r="O103" s="392"/>
    </row>
    <row r="104" spans="1:15" s="649" customFormat="1" ht="12" customHeight="1" x14ac:dyDescent="0.2">
      <c r="A104" s="379" t="s">
        <v>153</v>
      </c>
      <c r="B104" s="380"/>
      <c r="C104" s="381"/>
      <c r="D104" s="381" t="str">
        <f>'Order form'!S251</f>
        <v>HJ-7ANP</v>
      </c>
      <c r="E104" s="381" t="s">
        <v>701</v>
      </c>
      <c r="F104" s="382">
        <f>'Order form'!S254</f>
        <v>1.93</v>
      </c>
      <c r="G104" s="382">
        <f t="shared" si="11"/>
        <v>0</v>
      </c>
      <c r="H104" s="383">
        <v>0.1958</v>
      </c>
      <c r="I104" s="384"/>
      <c r="J104" s="384" t="s">
        <v>375</v>
      </c>
      <c r="K104" s="384"/>
      <c r="L104" s="384"/>
      <c r="M104" s="385"/>
      <c r="N104" s="381">
        <f t="shared" si="10"/>
        <v>7</v>
      </c>
      <c r="O104" s="392"/>
    </row>
    <row r="105" spans="1:15" s="649" customFormat="1" ht="12" customHeight="1" x14ac:dyDescent="0.2">
      <c r="A105" s="379" t="s">
        <v>153</v>
      </c>
      <c r="B105" s="380"/>
      <c r="C105" s="381"/>
      <c r="D105" s="381" t="str">
        <f>'Order form'!X251</f>
        <v>HJ-8NP</v>
      </c>
      <c r="E105" s="381" t="s">
        <v>702</v>
      </c>
      <c r="F105" s="382">
        <f>'Order form'!X254</f>
        <v>2.23</v>
      </c>
      <c r="G105" s="382">
        <f t="shared" si="11"/>
        <v>0</v>
      </c>
      <c r="H105" s="383">
        <v>0.30360000000000004</v>
      </c>
      <c r="I105" s="384"/>
      <c r="J105" s="384" t="s">
        <v>375</v>
      </c>
      <c r="K105" s="384"/>
      <c r="L105" s="384"/>
      <c r="M105" s="385"/>
      <c r="N105" s="381">
        <f t="shared" si="10"/>
        <v>7</v>
      </c>
      <c r="O105" s="392"/>
    </row>
    <row r="106" spans="1:15" s="649" customFormat="1" ht="12" customHeight="1" x14ac:dyDescent="0.2">
      <c r="A106" s="379" t="s">
        <v>153</v>
      </c>
      <c r="B106" s="380"/>
      <c r="C106" s="381"/>
      <c r="D106" s="381" t="str">
        <f>'Order form'!D262</f>
        <v>HJ-9NP</v>
      </c>
      <c r="E106" s="381" t="s">
        <v>703</v>
      </c>
      <c r="F106" s="382">
        <f>'Order form'!D265</f>
        <v>2.23</v>
      </c>
      <c r="G106" s="382">
        <f t="shared" si="11"/>
        <v>0</v>
      </c>
      <c r="H106" s="383">
        <v>0.29260000000000003</v>
      </c>
      <c r="I106" s="384"/>
      <c r="J106" s="384" t="s">
        <v>375</v>
      </c>
      <c r="K106" s="384"/>
      <c r="L106" s="384"/>
      <c r="M106" s="385"/>
      <c r="N106" s="381">
        <f t="shared" si="10"/>
        <v>7</v>
      </c>
      <c r="O106" s="392"/>
    </row>
    <row r="107" spans="1:15" s="649" customFormat="1" ht="12" customHeight="1" x14ac:dyDescent="0.2">
      <c r="A107" s="379" t="s">
        <v>153</v>
      </c>
      <c r="B107" s="380"/>
      <c r="C107" s="381"/>
      <c r="D107" s="381" t="str">
        <f>'Order form'!I262</f>
        <v>HJ-12NP</v>
      </c>
      <c r="E107" s="381" t="s">
        <v>704</v>
      </c>
      <c r="F107" s="382">
        <f>'Order form'!I265</f>
        <v>2.14</v>
      </c>
      <c r="G107" s="382">
        <f t="shared" si="11"/>
        <v>0</v>
      </c>
      <c r="H107" s="383">
        <v>0.31020000000000003</v>
      </c>
      <c r="I107" s="384"/>
      <c r="J107" s="384" t="s">
        <v>375</v>
      </c>
      <c r="K107" s="384"/>
      <c r="L107" s="384"/>
      <c r="M107" s="385"/>
      <c r="N107" s="381">
        <f t="shared" si="10"/>
        <v>7</v>
      </c>
      <c r="O107" s="392"/>
    </row>
    <row r="108" spans="1:15" s="649" customFormat="1" ht="12" customHeight="1" x14ac:dyDescent="0.2">
      <c r="A108" s="379" t="s">
        <v>153</v>
      </c>
      <c r="B108" s="380"/>
      <c r="C108" s="381"/>
      <c r="D108" s="381" t="str">
        <f>'Order form'!N262</f>
        <v>HJ-13NP</v>
      </c>
      <c r="E108" s="381" t="s">
        <v>705</v>
      </c>
      <c r="F108" s="382">
        <f>'Order form'!N265</f>
        <v>1.79</v>
      </c>
      <c r="G108" s="382">
        <f t="shared" si="11"/>
        <v>0</v>
      </c>
      <c r="H108" s="383">
        <v>0.253</v>
      </c>
      <c r="I108" s="384"/>
      <c r="J108" s="384" t="s">
        <v>375</v>
      </c>
      <c r="K108" s="384"/>
      <c r="L108" s="384"/>
      <c r="M108" s="385"/>
      <c r="N108" s="381">
        <f t="shared" si="10"/>
        <v>7</v>
      </c>
      <c r="O108" s="392"/>
    </row>
    <row r="109" spans="1:15" s="649" customFormat="1" ht="12" customHeight="1" x14ac:dyDescent="0.2">
      <c r="A109" s="379" t="s">
        <v>153</v>
      </c>
      <c r="B109" s="380"/>
      <c r="C109" s="381"/>
      <c r="D109" s="381" t="str">
        <f>'Order form'!S262</f>
        <v>HJ-14NP</v>
      </c>
      <c r="E109" s="381" t="s">
        <v>706</v>
      </c>
      <c r="F109" s="382">
        <f>'Order form'!S265</f>
        <v>5.04</v>
      </c>
      <c r="G109" s="382">
        <f t="shared" si="11"/>
        <v>0</v>
      </c>
      <c r="H109" s="383">
        <v>0.84480000000000011</v>
      </c>
      <c r="I109" s="384"/>
      <c r="J109" s="384" t="s">
        <v>375</v>
      </c>
      <c r="K109" s="384"/>
      <c r="L109" s="384"/>
      <c r="M109" s="385"/>
      <c r="N109" s="381">
        <f t="shared" si="10"/>
        <v>7</v>
      </c>
      <c r="O109" s="392"/>
    </row>
    <row r="110" spans="1:15" s="649" customFormat="1" ht="12" customHeight="1" x14ac:dyDescent="0.2">
      <c r="A110" s="379" t="s">
        <v>153</v>
      </c>
      <c r="B110" s="380"/>
      <c r="C110" s="381"/>
      <c r="D110" s="381" t="str">
        <f>'Order form'!X262</f>
        <v>HJ-15NP</v>
      </c>
      <c r="E110" s="381" t="s">
        <v>707</v>
      </c>
      <c r="F110" s="382">
        <f>'Order form'!X265</f>
        <v>1.88</v>
      </c>
      <c r="G110" s="382">
        <f t="shared" si="11"/>
        <v>0</v>
      </c>
      <c r="H110" s="383">
        <v>0.20020000000000002</v>
      </c>
      <c r="I110" s="384"/>
      <c r="J110" s="384" t="s">
        <v>375</v>
      </c>
      <c r="K110" s="384"/>
      <c r="L110" s="384"/>
      <c r="M110" s="385"/>
      <c r="N110" s="381">
        <f t="shared" si="10"/>
        <v>7</v>
      </c>
      <c r="O110" s="392"/>
    </row>
    <row r="111" spans="1:15" s="649" customFormat="1" ht="12" customHeight="1" x14ac:dyDescent="0.2">
      <c r="A111" s="379" t="s">
        <v>153</v>
      </c>
      <c r="B111" s="380"/>
      <c r="C111" s="381"/>
      <c r="D111" s="381" t="str">
        <f>'Order form'!D273</f>
        <v>HJ-17NP</v>
      </c>
      <c r="E111" s="381" t="s">
        <v>708</v>
      </c>
      <c r="F111" s="382">
        <f>'Order form'!D276</f>
        <v>1.75</v>
      </c>
      <c r="G111" s="382">
        <f t="shared" si="11"/>
        <v>0</v>
      </c>
      <c r="H111" s="383">
        <v>0.32340000000000008</v>
      </c>
      <c r="I111" s="384"/>
      <c r="J111" s="384" t="s">
        <v>375</v>
      </c>
      <c r="K111" s="384"/>
      <c r="L111" s="384"/>
      <c r="M111" s="385"/>
      <c r="N111" s="381">
        <f t="shared" si="10"/>
        <v>7</v>
      </c>
      <c r="O111" s="392"/>
    </row>
    <row r="112" spans="1:15" s="649" customFormat="1" ht="12" customHeight="1" x14ac:dyDescent="0.2">
      <c r="A112" s="379" t="s">
        <v>153</v>
      </c>
      <c r="B112" s="380"/>
      <c r="C112" s="381"/>
      <c r="D112" s="381" t="str">
        <f>'Order form'!I273</f>
        <v>HJ-23NP</v>
      </c>
      <c r="E112" s="381" t="s">
        <v>916</v>
      </c>
      <c r="F112" s="382">
        <f>'Order form'!I276</f>
        <v>2.38</v>
      </c>
      <c r="G112" s="382">
        <f t="shared" si="11"/>
        <v>0</v>
      </c>
      <c r="H112" s="383">
        <v>0.31900000000000006</v>
      </c>
      <c r="I112" s="384"/>
      <c r="J112" s="384" t="s">
        <v>375</v>
      </c>
      <c r="K112" s="384"/>
      <c r="L112" s="384"/>
      <c r="M112" s="385"/>
      <c r="N112" s="381">
        <f t="shared" si="10"/>
        <v>7</v>
      </c>
      <c r="O112" s="392"/>
    </row>
    <row r="113" spans="1:15" s="649" customFormat="1" ht="12" customHeight="1" x14ac:dyDescent="0.2">
      <c r="A113" s="379" t="s">
        <v>153</v>
      </c>
      <c r="B113" s="380"/>
      <c r="C113" s="381"/>
      <c r="D113" s="381" t="str">
        <f>'Order form'!N273</f>
        <v>HJ-24NP</v>
      </c>
      <c r="E113" s="381" t="s">
        <v>915</v>
      </c>
      <c r="F113" s="382">
        <f>'Order form'!N276</f>
        <v>2.81</v>
      </c>
      <c r="G113" s="382">
        <f t="shared" si="11"/>
        <v>0</v>
      </c>
      <c r="H113" s="383">
        <v>0.4884</v>
      </c>
      <c r="I113" s="384"/>
      <c r="J113" s="384" t="s">
        <v>375</v>
      </c>
      <c r="K113" s="384"/>
      <c r="L113" s="384"/>
      <c r="M113" s="385"/>
      <c r="N113" s="381">
        <f t="shared" si="10"/>
        <v>7</v>
      </c>
      <c r="O113" s="392"/>
    </row>
    <row r="114" spans="1:15" s="649" customFormat="1" ht="12" customHeight="1" x14ac:dyDescent="0.2">
      <c r="A114" s="379" t="s">
        <v>153</v>
      </c>
      <c r="B114" s="380"/>
      <c r="C114" s="381"/>
      <c r="D114" s="381" t="str">
        <f>'Order form'!S273</f>
        <v>HJ-90NP</v>
      </c>
      <c r="E114" s="381" t="str">
        <f>'Order form'!S275</f>
        <v>Round angle joint set</v>
      </c>
      <c r="F114" s="382">
        <f>'Order form'!S276</f>
        <v>2.58</v>
      </c>
      <c r="G114" s="382">
        <f t="shared" si="11"/>
        <v>0</v>
      </c>
      <c r="H114" s="383">
        <v>0.222</v>
      </c>
      <c r="I114" s="384"/>
      <c r="J114" s="384" t="s">
        <v>375</v>
      </c>
      <c r="K114" s="384"/>
      <c r="L114" s="384"/>
      <c r="M114" s="385"/>
      <c r="N114" s="381">
        <f t="shared" si="10"/>
        <v>7</v>
      </c>
      <c r="O114" s="392">
        <f>SUM(G75:G114)</f>
        <v>0</v>
      </c>
    </row>
    <row r="115" spans="1:15" s="386" customFormat="1" ht="12.6" customHeight="1" x14ac:dyDescent="0.2">
      <c r="A115" s="713" t="s">
        <v>153</v>
      </c>
      <c r="B115" s="714" t="s">
        <v>419</v>
      </c>
      <c r="C115" s="708">
        <f>'Order form'!F288</f>
        <v>50</v>
      </c>
      <c r="D115" s="708" t="str">
        <f>'Order form'!D286</f>
        <v>AP-ICAP</v>
      </c>
      <c r="E115" s="708" t="s">
        <v>709</v>
      </c>
      <c r="F115" s="680">
        <f>'Order form'!D288</f>
        <v>0.11</v>
      </c>
      <c r="G115" s="680">
        <f t="shared" si="11"/>
        <v>5.5</v>
      </c>
      <c r="H115" s="709">
        <v>6.6E-3</v>
      </c>
      <c r="I115" s="710">
        <f t="shared" si="5"/>
        <v>0.33</v>
      </c>
      <c r="J115" s="710" t="s">
        <v>22</v>
      </c>
      <c r="K115" s="710">
        <f>'Order form'!G289</f>
        <v>400</v>
      </c>
      <c r="L115" s="710">
        <f t="shared" ref="L115:L148" si="12">C115/K115</f>
        <v>0.125</v>
      </c>
      <c r="M115" s="711">
        <f t="shared" ref="M115:M148" si="13">K115*H115</f>
        <v>2.64</v>
      </c>
      <c r="N115" s="381">
        <f t="shared" si="10"/>
        <v>8</v>
      </c>
      <c r="O115" s="1274">
        <f>SUM(G115:G155)</f>
        <v>40.94</v>
      </c>
    </row>
    <row r="116" spans="1:15" s="386" customFormat="1" ht="12.6" customHeight="1" x14ac:dyDescent="0.2">
      <c r="A116" s="713" t="s">
        <v>153</v>
      </c>
      <c r="B116" s="714" t="s">
        <v>419</v>
      </c>
      <c r="C116" s="708">
        <f>'Order form'!K288</f>
        <v>0</v>
      </c>
      <c r="D116" s="708" t="str">
        <f>'Order form'!I286</f>
        <v>AP-CNNCT</v>
      </c>
      <c r="E116" s="708" t="s">
        <v>710</v>
      </c>
      <c r="F116" s="680">
        <f>'Order form'!I288</f>
        <v>1.1499999999999999</v>
      </c>
      <c r="G116" s="680">
        <f t="shared" si="11"/>
        <v>0</v>
      </c>
      <c r="H116" s="709">
        <v>7.0000000000000001E-3</v>
      </c>
      <c r="I116" s="710">
        <f t="shared" si="5"/>
        <v>0</v>
      </c>
      <c r="J116" s="710" t="s">
        <v>22</v>
      </c>
      <c r="K116" s="710">
        <f>'Order form'!L289</f>
        <v>100</v>
      </c>
      <c r="L116" s="710">
        <f t="shared" si="12"/>
        <v>0</v>
      </c>
      <c r="M116" s="711">
        <f t="shared" si="13"/>
        <v>0.70000000000000007</v>
      </c>
      <c r="N116" s="381">
        <f t="shared" si="10"/>
        <v>8</v>
      </c>
      <c r="O116" s="1275"/>
    </row>
    <row r="117" spans="1:15" s="386" customFormat="1" ht="12.6" customHeight="1" x14ac:dyDescent="0.2">
      <c r="A117" s="713" t="s">
        <v>153</v>
      </c>
      <c r="B117" s="714" t="s">
        <v>158</v>
      </c>
      <c r="C117" s="708">
        <f>'Order form'!P288</f>
        <v>0</v>
      </c>
      <c r="D117" s="708" t="str">
        <f>'Order form'!N286</f>
        <v>AP-CNNCT2</v>
      </c>
      <c r="E117" s="708" t="s">
        <v>711</v>
      </c>
      <c r="F117" s="680">
        <f>'Order form'!N288</f>
        <v>1.1499999999999999</v>
      </c>
      <c r="G117" s="680">
        <f t="shared" si="11"/>
        <v>0</v>
      </c>
      <c r="H117" s="709">
        <v>0.1144</v>
      </c>
      <c r="I117" s="710">
        <f t="shared" si="5"/>
        <v>0</v>
      </c>
      <c r="J117" s="710" t="s">
        <v>22</v>
      </c>
      <c r="K117" s="710">
        <f>'Order form'!V289</f>
        <v>150</v>
      </c>
      <c r="L117" s="710">
        <f t="shared" si="12"/>
        <v>0</v>
      </c>
      <c r="M117" s="711">
        <f t="shared" si="13"/>
        <v>17.16</v>
      </c>
      <c r="N117" s="381">
        <f t="shared" si="10"/>
        <v>8</v>
      </c>
      <c r="O117" s="1275"/>
    </row>
    <row r="118" spans="1:15" s="386" customFormat="1" ht="12.6" customHeight="1" x14ac:dyDescent="0.2">
      <c r="A118" s="713" t="s">
        <v>153</v>
      </c>
      <c r="B118" s="714" t="s">
        <v>158</v>
      </c>
      <c r="C118" s="708">
        <f>'Order form'!U288+'Order form'!K178+'Order form'!K167+'Order form'!P178+'Order form'!K276+'Order form'!P276+'Order form'!K265</f>
        <v>0</v>
      </c>
      <c r="D118" s="708" t="str">
        <f>'Order form'!S286</f>
        <v>AP-HINGE</v>
      </c>
      <c r="E118" s="708" t="s">
        <v>712</v>
      </c>
      <c r="F118" s="680">
        <f>'Order form'!S288</f>
        <v>0.25</v>
      </c>
      <c r="G118" s="680">
        <f t="shared" si="11"/>
        <v>0</v>
      </c>
      <c r="H118" s="709">
        <v>0.1144</v>
      </c>
      <c r="I118" s="710">
        <f t="shared" si="5"/>
        <v>0</v>
      </c>
      <c r="J118" s="710" t="s">
        <v>22</v>
      </c>
      <c r="K118" s="710">
        <f>'Order form'!Q289</f>
        <v>100</v>
      </c>
      <c r="L118" s="710">
        <f t="shared" si="12"/>
        <v>0</v>
      </c>
      <c r="M118" s="711">
        <f t="shared" si="13"/>
        <v>11.44</v>
      </c>
      <c r="N118" s="381">
        <f t="shared" si="10"/>
        <v>8</v>
      </c>
      <c r="O118" s="1275"/>
    </row>
    <row r="119" spans="1:15" s="386" customFormat="1" ht="12.6" customHeight="1" x14ac:dyDescent="0.2">
      <c r="A119" s="713" t="s">
        <v>153</v>
      </c>
      <c r="B119" s="714" t="s">
        <v>158</v>
      </c>
      <c r="C119" s="708">
        <f>'Order form'!F299</f>
        <v>12</v>
      </c>
      <c r="D119" s="708" t="str">
        <f>'Order form'!D297</f>
        <v>AF-ILEV</v>
      </c>
      <c r="E119" s="708" t="s">
        <v>713</v>
      </c>
      <c r="F119" s="680">
        <f>'Order form'!D299</f>
        <v>2.25</v>
      </c>
      <c r="G119" s="680">
        <f t="shared" si="11"/>
        <v>27</v>
      </c>
      <c r="H119" s="709">
        <v>0.32119999999999999</v>
      </c>
      <c r="I119" s="710">
        <f t="shared" si="5"/>
        <v>3.8544</v>
      </c>
      <c r="J119" s="710" t="s">
        <v>22</v>
      </c>
      <c r="K119" s="710">
        <f>'Order form'!G300</f>
        <v>100</v>
      </c>
      <c r="L119" s="710">
        <f t="shared" si="12"/>
        <v>0.12</v>
      </c>
      <c r="M119" s="711">
        <f t="shared" si="13"/>
        <v>32.119999999999997</v>
      </c>
      <c r="N119" s="381">
        <f t="shared" si="10"/>
        <v>9</v>
      </c>
      <c r="O119" s="1275"/>
    </row>
    <row r="120" spans="1:15" s="386" customFormat="1" ht="12.6" customHeight="1" x14ac:dyDescent="0.2">
      <c r="A120" s="713" t="s">
        <v>153</v>
      </c>
      <c r="B120" s="714" t="s">
        <v>158</v>
      </c>
      <c r="C120" s="708">
        <f>'Order form'!K299</f>
        <v>0</v>
      </c>
      <c r="D120" s="708" t="str">
        <f>'Order form'!I297</f>
        <v>AF-OLEV</v>
      </c>
      <c r="E120" s="708" t="s">
        <v>714</v>
      </c>
      <c r="F120" s="680">
        <f>'Order form'!I299</f>
        <v>2.25</v>
      </c>
      <c r="G120" s="680">
        <f t="shared" si="11"/>
        <v>0</v>
      </c>
      <c r="H120" s="709">
        <v>0.28599999999999998</v>
      </c>
      <c r="I120" s="710">
        <f t="shared" si="5"/>
        <v>0</v>
      </c>
      <c r="J120" s="710" t="s">
        <v>22</v>
      </c>
      <c r="K120" s="710">
        <f>'Order form'!L300</f>
        <v>100</v>
      </c>
      <c r="L120" s="710">
        <f t="shared" si="12"/>
        <v>0</v>
      </c>
      <c r="M120" s="711">
        <f t="shared" si="13"/>
        <v>28.599999999999998</v>
      </c>
      <c r="N120" s="381">
        <f t="shared" si="10"/>
        <v>9</v>
      </c>
      <c r="O120" s="1275"/>
    </row>
    <row r="121" spans="1:15" s="386" customFormat="1" ht="12.6" customHeight="1" x14ac:dyDescent="0.2">
      <c r="A121" s="713" t="s">
        <v>153</v>
      </c>
      <c r="B121" s="714" t="s">
        <v>419</v>
      </c>
      <c r="C121" s="708">
        <f>'Order form'!P299</f>
        <v>0</v>
      </c>
      <c r="D121" s="708" t="str">
        <f>'Order form'!N297</f>
        <v>AF-RUB</v>
      </c>
      <c r="E121" s="708" t="s">
        <v>715</v>
      </c>
      <c r="F121" s="680">
        <f>'Order form'!N299</f>
        <v>0.45</v>
      </c>
      <c r="G121" s="680">
        <f t="shared" si="11"/>
        <v>0</v>
      </c>
      <c r="H121" s="709">
        <v>8.2280000000000006E-2</v>
      </c>
      <c r="I121" s="710">
        <f t="shared" si="5"/>
        <v>0</v>
      </c>
      <c r="J121" s="710" t="s">
        <v>22</v>
      </c>
      <c r="K121" s="710">
        <f>'Order form'!Q300</f>
        <v>100</v>
      </c>
      <c r="L121" s="710">
        <f t="shared" si="12"/>
        <v>0</v>
      </c>
      <c r="M121" s="711">
        <f t="shared" si="13"/>
        <v>8.2279999999999998</v>
      </c>
      <c r="N121" s="381">
        <f t="shared" si="10"/>
        <v>9</v>
      </c>
      <c r="O121" s="1275"/>
    </row>
    <row r="122" spans="1:15" s="386" customFormat="1" ht="12.6" customHeight="1" x14ac:dyDescent="0.2">
      <c r="A122" s="713" t="s">
        <v>153</v>
      </c>
      <c r="B122" s="714" t="s">
        <v>158</v>
      </c>
      <c r="C122" s="708">
        <f>'Order form'!U299</f>
        <v>0</v>
      </c>
      <c r="D122" s="708" t="str">
        <f>'Order form'!S297</f>
        <v>AF-OSM</v>
      </c>
      <c r="E122" s="708" t="s">
        <v>716</v>
      </c>
      <c r="F122" s="680">
        <f>'Order form'!S299</f>
        <v>4</v>
      </c>
      <c r="G122" s="680">
        <f t="shared" si="11"/>
        <v>0</v>
      </c>
      <c r="H122" s="709">
        <v>2.2000000000000002</v>
      </c>
      <c r="I122" s="710">
        <f t="shared" si="5"/>
        <v>0</v>
      </c>
      <c r="J122" s="710" t="s">
        <v>22</v>
      </c>
      <c r="K122" s="710">
        <f>'Order form'!V300</f>
        <v>15</v>
      </c>
      <c r="L122" s="710">
        <f t="shared" si="12"/>
        <v>0</v>
      </c>
      <c r="M122" s="711">
        <f t="shared" si="13"/>
        <v>33</v>
      </c>
      <c r="N122" s="381">
        <f t="shared" si="10"/>
        <v>9</v>
      </c>
      <c r="O122" s="1275"/>
    </row>
    <row r="123" spans="1:15" s="386" customFormat="1" ht="12.6" customHeight="1" x14ac:dyDescent="0.2">
      <c r="A123" s="713" t="s">
        <v>153</v>
      </c>
      <c r="B123" s="714" t="s">
        <v>158</v>
      </c>
      <c r="C123" s="708">
        <f>'Order form'!Z299</f>
        <v>0</v>
      </c>
      <c r="D123" s="708" t="str">
        <f>'Order form'!X297</f>
        <v>AF-STACK</v>
      </c>
      <c r="E123" s="708" t="s">
        <v>717</v>
      </c>
      <c r="F123" s="680">
        <f>'Order form'!X299</f>
        <v>4</v>
      </c>
      <c r="G123" s="680">
        <f t="shared" si="11"/>
        <v>0</v>
      </c>
      <c r="H123" s="709">
        <v>0.86899999999999999</v>
      </c>
      <c r="I123" s="710">
        <f t="shared" si="5"/>
        <v>0</v>
      </c>
      <c r="J123" s="710" t="s">
        <v>22</v>
      </c>
      <c r="K123" s="710">
        <f>'Order form'!AA300</f>
        <v>10</v>
      </c>
      <c r="L123" s="710">
        <f t="shared" si="12"/>
        <v>0</v>
      </c>
      <c r="M123" s="711">
        <f t="shared" si="13"/>
        <v>8.69</v>
      </c>
      <c r="N123" s="381">
        <f t="shared" si="10"/>
        <v>9</v>
      </c>
      <c r="O123" s="1275"/>
    </row>
    <row r="124" spans="1:15" s="386" customFormat="1" ht="12.6" customHeight="1" x14ac:dyDescent="0.2">
      <c r="A124" s="713" t="s">
        <v>153</v>
      </c>
      <c r="B124" s="714" t="s">
        <v>419</v>
      </c>
      <c r="C124" s="708">
        <f>'Order form'!F310</f>
        <v>20</v>
      </c>
      <c r="D124" s="708" t="str">
        <f>'Order form'!D308</f>
        <v>AO-SHIM</v>
      </c>
      <c r="E124" s="708" t="s">
        <v>718</v>
      </c>
      <c r="F124" s="680">
        <f>'Order form'!D310</f>
        <v>0.15</v>
      </c>
      <c r="G124" s="680">
        <f t="shared" ref="G124:G134" si="14">F124*C124</f>
        <v>3</v>
      </c>
      <c r="H124" s="709">
        <v>1.0999999999999999E-2</v>
      </c>
      <c r="I124" s="710">
        <f t="shared" ref="I124:I134" si="15">C124*H124</f>
        <v>0.21999999999999997</v>
      </c>
      <c r="J124" s="710" t="s">
        <v>22</v>
      </c>
      <c r="K124" s="710">
        <f>'Order form'!G311</f>
        <v>300</v>
      </c>
      <c r="L124" s="710">
        <f t="shared" si="12"/>
        <v>6.6666666666666666E-2</v>
      </c>
      <c r="M124" s="711">
        <f t="shared" si="13"/>
        <v>3.3</v>
      </c>
      <c r="N124" s="381">
        <f t="shared" si="10"/>
        <v>10</v>
      </c>
      <c r="O124" s="1275"/>
    </row>
    <row r="125" spans="1:15" s="386" customFormat="1" ht="12.6" customHeight="1" x14ac:dyDescent="0.2">
      <c r="A125" s="713" t="s">
        <v>153</v>
      </c>
      <c r="B125" s="714" t="s">
        <v>419</v>
      </c>
      <c r="C125" s="708">
        <f>'Order form'!K310</f>
        <v>0</v>
      </c>
      <c r="D125" s="708" t="str">
        <f>'Order form'!I308</f>
        <v>AO-CLIP</v>
      </c>
      <c r="E125" s="708" t="s">
        <v>719</v>
      </c>
      <c r="F125" s="680">
        <f>'Order form'!I310</f>
        <v>0.35</v>
      </c>
      <c r="G125" s="680">
        <f t="shared" si="14"/>
        <v>0</v>
      </c>
      <c r="H125" s="709">
        <v>2.86E-2</v>
      </c>
      <c r="I125" s="710">
        <f t="shared" si="15"/>
        <v>0</v>
      </c>
      <c r="J125" s="710" t="s">
        <v>22</v>
      </c>
      <c r="K125" s="710">
        <f>'Order form'!L311</f>
        <v>100</v>
      </c>
      <c r="L125" s="710">
        <f t="shared" si="12"/>
        <v>0</v>
      </c>
      <c r="M125" s="711">
        <f t="shared" si="13"/>
        <v>2.86</v>
      </c>
      <c r="N125" s="381">
        <f t="shared" si="10"/>
        <v>10</v>
      </c>
      <c r="O125" s="1275"/>
    </row>
    <row r="126" spans="1:15" s="386" customFormat="1" ht="12.6" customHeight="1" x14ac:dyDescent="0.2">
      <c r="A126" s="713" t="s">
        <v>153</v>
      </c>
      <c r="B126" s="714" t="s">
        <v>158</v>
      </c>
      <c r="C126" s="708">
        <f>'Order form'!P310</f>
        <v>10</v>
      </c>
      <c r="D126" s="708" t="str">
        <f>'Order form'!N308</f>
        <v>AO-EMT1</v>
      </c>
      <c r="E126" s="708" t="s">
        <v>721</v>
      </c>
      <c r="F126" s="680">
        <f>'Order form'!N310</f>
        <v>0.18</v>
      </c>
      <c r="G126" s="680">
        <f t="shared" si="14"/>
        <v>1.7999999999999998</v>
      </c>
      <c r="H126" s="709">
        <v>4.3999999999999997E-2</v>
      </c>
      <c r="I126" s="710">
        <f t="shared" si="15"/>
        <v>0.43999999999999995</v>
      </c>
      <c r="J126" s="710" t="s">
        <v>22</v>
      </c>
      <c r="K126" s="710">
        <f>'Order form'!Q311</f>
        <v>230</v>
      </c>
      <c r="L126" s="710">
        <f t="shared" si="12"/>
        <v>4.3478260869565216E-2</v>
      </c>
      <c r="M126" s="711">
        <f t="shared" si="13"/>
        <v>10.119999999999999</v>
      </c>
      <c r="N126" s="381">
        <f t="shared" si="10"/>
        <v>11</v>
      </c>
      <c r="O126" s="1275"/>
    </row>
    <row r="127" spans="1:15" s="386" customFormat="1" ht="12.6" customHeight="1" x14ac:dyDescent="0.2">
      <c r="A127" s="713" t="s">
        <v>153</v>
      </c>
      <c r="B127" s="714" t="s">
        <v>158</v>
      </c>
      <c r="C127" s="708">
        <f>'Order form'!U310</f>
        <v>6</v>
      </c>
      <c r="D127" s="708" t="str">
        <f>'Order form'!S308</f>
        <v>AO-EMT2</v>
      </c>
      <c r="E127" s="708" t="s">
        <v>722</v>
      </c>
      <c r="F127" s="680">
        <f>'Order form'!S310</f>
        <v>0.18</v>
      </c>
      <c r="G127" s="680">
        <f t="shared" si="14"/>
        <v>1.08</v>
      </c>
      <c r="H127" s="709">
        <v>5.7000000000000002E-2</v>
      </c>
      <c r="I127" s="710">
        <f t="shared" si="15"/>
        <v>0.34200000000000003</v>
      </c>
      <c r="J127" s="710" t="s">
        <v>22</v>
      </c>
      <c r="K127" s="710">
        <f>'Order form'!V311</f>
        <v>200</v>
      </c>
      <c r="L127" s="710">
        <f t="shared" si="12"/>
        <v>0.03</v>
      </c>
      <c r="M127" s="711">
        <f t="shared" si="13"/>
        <v>11.4</v>
      </c>
      <c r="N127" s="381">
        <f t="shared" si="10"/>
        <v>12</v>
      </c>
      <c r="O127" s="1275"/>
    </row>
    <row r="128" spans="1:15" s="386" customFormat="1" ht="12.6" customHeight="1" x14ac:dyDescent="0.2">
      <c r="A128" s="713" t="s">
        <v>153</v>
      </c>
      <c r="B128" s="714" t="s">
        <v>158</v>
      </c>
      <c r="C128" s="708">
        <f>'Order form'!F321</f>
        <v>0</v>
      </c>
      <c r="D128" s="708" t="str">
        <f>'Order form'!D319</f>
        <v>AI-CORNER</v>
      </c>
      <c r="E128" s="708" t="s">
        <v>723</v>
      </c>
      <c r="F128" s="680">
        <f>'Order form'!D321</f>
        <v>1.75</v>
      </c>
      <c r="G128" s="680">
        <f t="shared" si="14"/>
        <v>0</v>
      </c>
      <c r="H128" s="709">
        <v>0.15840000000000001</v>
      </c>
      <c r="I128" s="710">
        <f t="shared" si="15"/>
        <v>0</v>
      </c>
      <c r="J128" s="710" t="s">
        <v>22</v>
      </c>
      <c r="K128" s="710">
        <f>'Order form'!G322</f>
        <v>60</v>
      </c>
      <c r="L128" s="710">
        <f t="shared" si="12"/>
        <v>0</v>
      </c>
      <c r="M128" s="711">
        <f t="shared" si="13"/>
        <v>9.5040000000000013</v>
      </c>
      <c r="N128" s="381">
        <f t="shared" si="10"/>
        <v>12</v>
      </c>
      <c r="O128" s="1275"/>
    </row>
    <row r="129" spans="1:15" s="386" customFormat="1" ht="12.6" customHeight="1" x14ac:dyDescent="0.2">
      <c r="A129" s="713" t="s">
        <v>153</v>
      </c>
      <c r="B129" s="714" t="s">
        <v>158</v>
      </c>
      <c r="C129" s="708">
        <f>'Order form'!K321</f>
        <v>0</v>
      </c>
      <c r="D129" s="708" t="str">
        <f>'Order form'!I319</f>
        <v>AI-SUPPORT</v>
      </c>
      <c r="E129" s="708" t="s">
        <v>731</v>
      </c>
      <c r="F129" s="680">
        <f>'Order form'!I321</f>
        <v>0.55000000000000004</v>
      </c>
      <c r="G129" s="680">
        <f t="shared" si="14"/>
        <v>0</v>
      </c>
      <c r="H129" s="709">
        <v>0.154</v>
      </c>
      <c r="I129" s="710">
        <f t="shared" si="15"/>
        <v>0</v>
      </c>
      <c r="J129" s="710" t="s">
        <v>22</v>
      </c>
      <c r="K129" s="710">
        <f>'Order form'!L322</f>
        <v>100</v>
      </c>
      <c r="L129" s="710">
        <f t="shared" si="12"/>
        <v>0</v>
      </c>
      <c r="M129" s="711">
        <f t="shared" si="13"/>
        <v>15.4</v>
      </c>
      <c r="N129" s="381">
        <f t="shared" si="10"/>
        <v>12</v>
      </c>
      <c r="O129" s="1275"/>
    </row>
    <row r="130" spans="1:15" s="386" customFormat="1" ht="12.6" customHeight="1" x14ac:dyDescent="0.2">
      <c r="A130" s="713" t="s">
        <v>153</v>
      </c>
      <c r="B130" s="714" t="s">
        <v>158</v>
      </c>
      <c r="C130" s="708">
        <f>'Order form'!P321</f>
        <v>0</v>
      </c>
      <c r="D130" s="708" t="str">
        <f>'Order form'!N319</f>
        <v>AI-CENTER</v>
      </c>
      <c r="E130" s="708" t="s">
        <v>732</v>
      </c>
      <c r="F130" s="680">
        <f>'Order form'!N321</f>
        <v>1.75</v>
      </c>
      <c r="G130" s="680">
        <f t="shared" si="14"/>
        <v>0</v>
      </c>
      <c r="H130" s="709">
        <v>0.29039999999999999</v>
      </c>
      <c r="I130" s="710">
        <f t="shared" si="15"/>
        <v>0</v>
      </c>
      <c r="J130" s="710" t="s">
        <v>22</v>
      </c>
      <c r="K130" s="710">
        <f>'Order form'!Q322</f>
        <v>60</v>
      </c>
      <c r="L130" s="710">
        <f t="shared" si="12"/>
        <v>0</v>
      </c>
      <c r="M130" s="711">
        <f t="shared" si="13"/>
        <v>17.423999999999999</v>
      </c>
      <c r="N130" s="381">
        <f t="shared" si="10"/>
        <v>12</v>
      </c>
      <c r="O130" s="1275"/>
    </row>
    <row r="131" spans="1:15" s="386" customFormat="1" ht="12.6" customHeight="1" x14ac:dyDescent="0.2">
      <c r="A131" s="713" t="s">
        <v>153</v>
      </c>
      <c r="B131" s="714" t="s">
        <v>158</v>
      </c>
      <c r="C131" s="708">
        <f>'Order form'!U321</f>
        <v>0</v>
      </c>
      <c r="D131" s="708" t="str">
        <f>'Order form'!S319</f>
        <v>AP-HOLE</v>
      </c>
      <c r="E131" s="708" t="s">
        <v>856</v>
      </c>
      <c r="F131" s="680">
        <f>'Order form'!S321</f>
        <v>1.9</v>
      </c>
      <c r="G131" s="680">
        <f t="shared" si="14"/>
        <v>0</v>
      </c>
      <c r="H131" s="218">
        <v>0.19844000000000001</v>
      </c>
      <c r="I131" s="710">
        <f t="shared" si="15"/>
        <v>0</v>
      </c>
      <c r="J131" s="710" t="s">
        <v>22</v>
      </c>
      <c r="K131" s="710">
        <f>'Order form'!V322</f>
        <v>165</v>
      </c>
      <c r="L131" s="710">
        <f t="shared" si="12"/>
        <v>0</v>
      </c>
      <c r="M131" s="711">
        <f t="shared" si="13"/>
        <v>32.742600000000003</v>
      </c>
      <c r="N131" s="381">
        <f t="shared" si="10"/>
        <v>12</v>
      </c>
      <c r="O131" s="1275"/>
    </row>
    <row r="132" spans="1:15" s="386" customFormat="1" ht="12.6" customHeight="1" x14ac:dyDescent="0.2">
      <c r="A132" s="713" t="s">
        <v>153</v>
      </c>
      <c r="B132" s="714" t="s">
        <v>158</v>
      </c>
      <c r="C132" s="708">
        <f>'Order form'!Z321</f>
        <v>0</v>
      </c>
      <c r="D132" s="708" t="str">
        <f>'Order form'!X319</f>
        <v>AP-SLEEVE</v>
      </c>
      <c r="E132" s="708" t="s">
        <v>857</v>
      </c>
      <c r="F132" s="680">
        <f>'Order form'!X321</f>
        <v>2.25</v>
      </c>
      <c r="G132" s="680">
        <f t="shared" si="14"/>
        <v>0</v>
      </c>
      <c r="H132" s="218">
        <v>0.35332000000000002</v>
      </c>
      <c r="I132" s="710">
        <f t="shared" si="15"/>
        <v>0</v>
      </c>
      <c r="J132" s="710" t="s">
        <v>22</v>
      </c>
      <c r="K132" s="710">
        <f>'Order form'!AA322</f>
        <v>90</v>
      </c>
      <c r="L132" s="710">
        <f t="shared" si="12"/>
        <v>0</v>
      </c>
      <c r="M132" s="711">
        <f t="shared" si="13"/>
        <v>31.798800000000004</v>
      </c>
      <c r="N132" s="381">
        <f t="shared" si="10"/>
        <v>12</v>
      </c>
      <c r="O132" s="1275"/>
    </row>
    <row r="133" spans="1:15" s="386" customFormat="1" ht="12.6" customHeight="1" x14ac:dyDescent="0.2">
      <c r="A133" s="713" t="s">
        <v>153</v>
      </c>
      <c r="B133" s="714" t="s">
        <v>419</v>
      </c>
      <c r="C133" s="708">
        <f>'Order form'!F332</f>
        <v>0</v>
      </c>
      <c r="D133" s="708" t="str">
        <f>'Order form'!D330</f>
        <v>AS-DIVIDER</v>
      </c>
      <c r="E133" s="708" t="s">
        <v>720</v>
      </c>
      <c r="F133" s="680">
        <f>'Order form'!D332</f>
        <v>0.9</v>
      </c>
      <c r="G133" s="680">
        <f t="shared" si="14"/>
        <v>0</v>
      </c>
      <c r="H133" s="709">
        <v>1.9800000000000002E-2</v>
      </c>
      <c r="I133" s="710">
        <f t="shared" si="15"/>
        <v>0</v>
      </c>
      <c r="J133" s="710" t="s">
        <v>22</v>
      </c>
      <c r="K133" s="710">
        <f>'Order form'!G333</f>
        <v>200</v>
      </c>
      <c r="L133" s="710">
        <f t="shared" si="12"/>
        <v>0</v>
      </c>
      <c r="M133" s="711">
        <f t="shared" si="13"/>
        <v>3.9600000000000004</v>
      </c>
      <c r="N133" s="381">
        <f t="shared" si="10"/>
        <v>12</v>
      </c>
      <c r="O133" s="1275"/>
    </row>
    <row r="134" spans="1:15" s="386" customFormat="1" ht="12.6" customHeight="1" x14ac:dyDescent="0.2">
      <c r="A134" s="713" t="s">
        <v>153</v>
      </c>
      <c r="B134" s="714" t="s">
        <v>158</v>
      </c>
      <c r="C134" s="708">
        <f>'Order form'!K332</f>
        <v>0</v>
      </c>
      <c r="D134" s="708" t="str">
        <f>'Order form'!I330</f>
        <v>AS-SWIVEL</v>
      </c>
      <c r="E134" s="708" t="s">
        <v>724</v>
      </c>
      <c r="F134" s="680">
        <f>'Order form'!I332</f>
        <v>5</v>
      </c>
      <c r="G134" s="680">
        <f t="shared" si="14"/>
        <v>0</v>
      </c>
      <c r="H134" s="709">
        <v>0.50600000000000001</v>
      </c>
      <c r="I134" s="710">
        <f t="shared" si="15"/>
        <v>0</v>
      </c>
      <c r="J134" s="710" t="s">
        <v>22</v>
      </c>
      <c r="K134" s="710">
        <f>'Order form'!L333</f>
        <v>100</v>
      </c>
      <c r="L134" s="710">
        <f t="shared" si="12"/>
        <v>0</v>
      </c>
      <c r="M134" s="711">
        <f t="shared" si="13"/>
        <v>50.6</v>
      </c>
      <c r="N134" s="381">
        <f t="shared" si="10"/>
        <v>12</v>
      </c>
      <c r="O134" s="1275"/>
    </row>
    <row r="135" spans="1:15" s="386" customFormat="1" ht="12.6" customHeight="1" x14ac:dyDescent="0.2">
      <c r="A135" s="713" t="s">
        <v>153</v>
      </c>
      <c r="B135" s="714" t="s">
        <v>158</v>
      </c>
      <c r="C135" s="708">
        <f>'Order form'!P332</f>
        <v>0</v>
      </c>
      <c r="D135" s="708" t="str">
        <f>'Order form'!N330</f>
        <v>AS-REST</v>
      </c>
      <c r="E135" s="708" t="s">
        <v>725</v>
      </c>
      <c r="F135" s="680">
        <f>'Order form'!N332</f>
        <v>2.25</v>
      </c>
      <c r="G135" s="680">
        <f t="shared" si="11"/>
        <v>0</v>
      </c>
      <c r="H135" s="709">
        <v>0.1386</v>
      </c>
      <c r="I135" s="710">
        <f t="shared" si="5"/>
        <v>0</v>
      </c>
      <c r="J135" s="710" t="s">
        <v>22</v>
      </c>
      <c r="K135" s="710">
        <f>'Order form'!Q333</f>
        <v>105</v>
      </c>
      <c r="L135" s="710">
        <f t="shared" si="12"/>
        <v>0</v>
      </c>
      <c r="M135" s="711">
        <f t="shared" si="13"/>
        <v>14.553000000000001</v>
      </c>
      <c r="N135" s="381">
        <f t="shared" si="10"/>
        <v>12</v>
      </c>
      <c r="O135" s="1275"/>
    </row>
    <row r="136" spans="1:15" s="386" customFormat="1" ht="12.6" customHeight="1" x14ac:dyDescent="0.2">
      <c r="A136" s="713" t="s">
        <v>153</v>
      </c>
      <c r="B136" s="714" t="s">
        <v>158</v>
      </c>
      <c r="C136" s="708">
        <f>'Order form'!U332</f>
        <v>0</v>
      </c>
      <c r="D136" s="708" t="str">
        <f>'Order form'!S330</f>
        <v>AS-UREST</v>
      </c>
      <c r="E136" s="708" t="s">
        <v>858</v>
      </c>
      <c r="F136" s="680">
        <f>'Order form'!S332</f>
        <v>2.4</v>
      </c>
      <c r="G136" s="680">
        <f t="shared" si="11"/>
        <v>0</v>
      </c>
      <c r="H136" s="218">
        <v>0.26640000000000003</v>
      </c>
      <c r="I136" s="710">
        <f t="shared" ref="I136" si="16">C136*H136</f>
        <v>0</v>
      </c>
      <c r="J136" s="710" t="s">
        <v>22</v>
      </c>
      <c r="K136" s="710">
        <f>'Order form'!V333</f>
        <v>75</v>
      </c>
      <c r="L136" s="710">
        <f t="shared" si="12"/>
        <v>0</v>
      </c>
      <c r="M136" s="711">
        <f t="shared" si="13"/>
        <v>19.98</v>
      </c>
      <c r="N136" s="381">
        <f t="shared" si="10"/>
        <v>12</v>
      </c>
      <c r="O136" s="1275"/>
    </row>
    <row r="137" spans="1:15" s="386" customFormat="1" ht="12.6" customHeight="1" x14ac:dyDescent="0.2">
      <c r="A137" s="713" t="s">
        <v>153</v>
      </c>
      <c r="B137" s="714" t="s">
        <v>158</v>
      </c>
      <c r="C137" s="708">
        <f>'Order form'!F343</f>
        <v>0</v>
      </c>
      <c r="D137" s="708" t="str">
        <f>'Order form'!D341</f>
        <v>AC-SKID</v>
      </c>
      <c r="E137" s="708" t="s">
        <v>727</v>
      </c>
      <c r="F137" s="680">
        <f>'Order form'!D343</f>
        <v>2.5</v>
      </c>
      <c r="G137" s="680">
        <f t="shared" si="11"/>
        <v>0</v>
      </c>
      <c r="H137" s="709">
        <v>0.60499999999999998</v>
      </c>
      <c r="I137" s="710">
        <f t="shared" si="5"/>
        <v>0</v>
      </c>
      <c r="J137" s="710" t="s">
        <v>22</v>
      </c>
      <c r="K137" s="710">
        <f>'Order form'!G344</f>
        <v>20</v>
      </c>
      <c r="L137" s="710">
        <f t="shared" si="12"/>
        <v>0</v>
      </c>
      <c r="M137" s="711">
        <f t="shared" si="13"/>
        <v>12.1</v>
      </c>
      <c r="N137" s="381">
        <f t="shared" si="10"/>
        <v>12</v>
      </c>
      <c r="O137" s="1275"/>
    </row>
    <row r="138" spans="1:15" s="386" customFormat="1" ht="12.6" customHeight="1" x14ac:dyDescent="0.2">
      <c r="A138" s="713" t="s">
        <v>153</v>
      </c>
      <c r="B138" s="714" t="s">
        <v>158</v>
      </c>
      <c r="C138" s="708">
        <f>'Order form'!K343</f>
        <v>0</v>
      </c>
      <c r="D138" s="708" t="str">
        <f>'Order form'!I341</f>
        <v>AC-STRAP</v>
      </c>
      <c r="E138" s="708" t="s">
        <v>728</v>
      </c>
      <c r="F138" s="680">
        <f>'Order form'!I343</f>
        <v>4.45</v>
      </c>
      <c r="G138" s="680">
        <f t="shared" si="11"/>
        <v>0</v>
      </c>
      <c r="H138" s="709">
        <v>0.31900000000000001</v>
      </c>
      <c r="I138" s="710">
        <f t="shared" si="5"/>
        <v>0</v>
      </c>
      <c r="J138" s="710" t="s">
        <v>22</v>
      </c>
      <c r="K138" s="710">
        <f>'Order form'!L344</f>
        <v>50</v>
      </c>
      <c r="L138" s="710">
        <f t="shared" si="12"/>
        <v>0</v>
      </c>
      <c r="M138" s="711">
        <f t="shared" si="13"/>
        <v>15.950000000000001</v>
      </c>
      <c r="N138" s="381">
        <f t="shared" si="10"/>
        <v>12</v>
      </c>
      <c r="O138" s="1275"/>
    </row>
    <row r="139" spans="1:15" s="386" customFormat="1" ht="12.6" customHeight="1" x14ac:dyDescent="0.2">
      <c r="A139" s="713" t="s">
        <v>153</v>
      </c>
      <c r="B139" s="714" t="s">
        <v>419</v>
      </c>
      <c r="C139" s="708">
        <f>'Order form'!P343</f>
        <v>2</v>
      </c>
      <c r="D139" s="708" t="str">
        <f>'Order form'!N341</f>
        <v>AL-TAG1</v>
      </c>
      <c r="E139" s="708" t="s">
        <v>729</v>
      </c>
      <c r="F139" s="680">
        <f>'Order form'!N343</f>
        <v>1.28</v>
      </c>
      <c r="G139" s="680">
        <f t="shared" si="11"/>
        <v>2.56</v>
      </c>
      <c r="H139" s="709">
        <v>6.1600000000000002E-2</v>
      </c>
      <c r="I139" s="710">
        <f t="shared" si="5"/>
        <v>0.1232</v>
      </c>
      <c r="J139" s="710" t="s">
        <v>22</v>
      </c>
      <c r="K139" s="710">
        <f>'Order form'!Q344</f>
        <v>45</v>
      </c>
      <c r="L139" s="710">
        <f t="shared" si="12"/>
        <v>4.4444444444444446E-2</v>
      </c>
      <c r="M139" s="711">
        <f t="shared" si="13"/>
        <v>2.7720000000000002</v>
      </c>
      <c r="N139" s="381">
        <f t="shared" si="10"/>
        <v>13</v>
      </c>
      <c r="O139" s="1275"/>
    </row>
    <row r="140" spans="1:15" s="386" customFormat="1" ht="12.6" customHeight="1" x14ac:dyDescent="0.2">
      <c r="A140" s="713" t="s">
        <v>153</v>
      </c>
      <c r="B140" s="714" t="s">
        <v>419</v>
      </c>
      <c r="C140" s="708">
        <f>'Order form'!U343</f>
        <v>0</v>
      </c>
      <c r="D140" s="708" t="str">
        <f>'Order form'!S341</f>
        <v>AL-TAG2</v>
      </c>
      <c r="E140" s="708" t="s">
        <v>730</v>
      </c>
      <c r="F140" s="680">
        <f>'Order form'!S343</f>
        <v>1.3</v>
      </c>
      <c r="G140" s="680">
        <f t="shared" si="11"/>
        <v>0</v>
      </c>
      <c r="H140" s="709">
        <v>8.6019999999999999E-2</v>
      </c>
      <c r="I140" s="710">
        <f t="shared" ref="I140:I141" si="17">C140*H140</f>
        <v>0</v>
      </c>
      <c r="J140" s="710" t="s">
        <v>22</v>
      </c>
      <c r="K140" s="710">
        <f>'Order form'!V344</f>
        <v>90</v>
      </c>
      <c r="L140" s="710">
        <f t="shared" si="12"/>
        <v>0</v>
      </c>
      <c r="M140" s="711">
        <f t="shared" si="13"/>
        <v>7.7417999999999996</v>
      </c>
      <c r="N140" s="381">
        <f t="shared" si="10"/>
        <v>13</v>
      </c>
      <c r="O140" s="1275"/>
    </row>
    <row r="141" spans="1:15" s="386" customFormat="1" ht="12.6" customHeight="1" x14ac:dyDescent="0.2">
      <c r="A141" s="713" t="s">
        <v>153</v>
      </c>
      <c r="B141" s="714" t="s">
        <v>419</v>
      </c>
      <c r="C141" s="708">
        <f>'Order form'!Z343</f>
        <v>0</v>
      </c>
      <c r="D141" s="708" t="str">
        <f>'Order form'!X341</f>
        <v>AC-BUMPER</v>
      </c>
      <c r="E141" s="708" t="s">
        <v>735</v>
      </c>
      <c r="F141" s="680">
        <f>'Order form'!X343</f>
        <v>3.5</v>
      </c>
      <c r="G141" s="680">
        <f t="shared" si="11"/>
        <v>0</v>
      </c>
      <c r="H141" s="709">
        <v>9.9000000000000005E-2</v>
      </c>
      <c r="I141" s="710">
        <f t="shared" si="17"/>
        <v>0</v>
      </c>
      <c r="J141" s="710" t="s">
        <v>22</v>
      </c>
      <c r="K141" s="710">
        <f>'Order form'!AA344</f>
        <v>100</v>
      </c>
      <c r="L141" s="710">
        <f t="shared" si="12"/>
        <v>0</v>
      </c>
      <c r="M141" s="711">
        <f t="shared" si="13"/>
        <v>9.9</v>
      </c>
      <c r="N141" s="381">
        <f t="shared" si="10"/>
        <v>13</v>
      </c>
      <c r="O141" s="1275"/>
    </row>
    <row r="142" spans="1:15" s="386" customFormat="1" ht="12.6" customHeight="1" x14ac:dyDescent="0.2">
      <c r="A142" s="713" t="s">
        <v>153</v>
      </c>
      <c r="B142" s="714" t="s">
        <v>158</v>
      </c>
      <c r="C142" s="708">
        <f>'Order form'!F354</f>
        <v>0</v>
      </c>
      <c r="D142" s="708" t="str">
        <f>'Order form'!D352</f>
        <v>AW-HOOK</v>
      </c>
      <c r="E142" s="708" t="s">
        <v>736</v>
      </c>
      <c r="F142" s="680">
        <f>'Order form'!D354</f>
        <v>0.8</v>
      </c>
      <c r="G142" s="680">
        <f t="shared" si="11"/>
        <v>0</v>
      </c>
      <c r="H142" s="709">
        <v>4.3999999999999997E-2</v>
      </c>
      <c r="I142" s="710">
        <f t="shared" ref="I142:I179" si="18">C142*H142</f>
        <v>0</v>
      </c>
      <c r="J142" s="710" t="s">
        <v>22</v>
      </c>
      <c r="K142" s="710">
        <f>'Order form'!G355</f>
        <v>200</v>
      </c>
      <c r="L142" s="710">
        <f t="shared" si="12"/>
        <v>0</v>
      </c>
      <c r="M142" s="711">
        <f t="shared" si="13"/>
        <v>8.7999999999999989</v>
      </c>
      <c r="N142" s="381">
        <f t="shared" si="10"/>
        <v>13</v>
      </c>
      <c r="O142" s="1275"/>
    </row>
    <row r="143" spans="1:15" s="386" customFormat="1" ht="12.6" customHeight="1" x14ac:dyDescent="0.2">
      <c r="A143" s="713" t="s">
        <v>153</v>
      </c>
      <c r="B143" s="714" t="s">
        <v>158</v>
      </c>
      <c r="C143" s="708">
        <f>'Order form'!K354</f>
        <v>0</v>
      </c>
      <c r="D143" s="708" t="str">
        <f>'Order form'!I352</f>
        <v>AW-HANGER</v>
      </c>
      <c r="E143" s="708" t="s">
        <v>737</v>
      </c>
      <c r="F143" s="680">
        <f>'Order form'!I354</f>
        <v>2.5</v>
      </c>
      <c r="G143" s="680">
        <f t="shared" si="11"/>
        <v>0</v>
      </c>
      <c r="H143" s="709">
        <v>0.2288</v>
      </c>
      <c r="I143" s="710">
        <f t="shared" si="18"/>
        <v>0</v>
      </c>
      <c r="J143" s="710" t="s">
        <v>22</v>
      </c>
      <c r="K143" s="712">
        <f>'Order form'!L355</f>
        <v>40</v>
      </c>
      <c r="L143" s="710">
        <f t="shared" si="12"/>
        <v>0</v>
      </c>
      <c r="M143" s="711">
        <f t="shared" si="13"/>
        <v>9.152000000000001</v>
      </c>
      <c r="N143" s="381">
        <f t="shared" si="10"/>
        <v>13</v>
      </c>
      <c r="O143" s="1275"/>
    </row>
    <row r="144" spans="1:15" s="386" customFormat="1" ht="12.6" customHeight="1" x14ac:dyDescent="0.2">
      <c r="A144" s="713" t="s">
        <v>153</v>
      </c>
      <c r="B144" s="714" t="s">
        <v>158</v>
      </c>
      <c r="C144" s="708">
        <f>'Order form'!P354</f>
        <v>0</v>
      </c>
      <c r="D144" s="708" t="str">
        <f>'Order form'!N352</f>
        <v>AW-HOLDER</v>
      </c>
      <c r="E144" s="708" t="s">
        <v>738</v>
      </c>
      <c r="F144" s="680">
        <f>'Order form'!N354</f>
        <v>7</v>
      </c>
      <c r="G144" s="680">
        <f t="shared" si="11"/>
        <v>0</v>
      </c>
      <c r="H144" s="709">
        <v>0.374</v>
      </c>
      <c r="I144" s="710">
        <f t="shared" si="18"/>
        <v>0</v>
      </c>
      <c r="J144" s="710" t="s">
        <v>22</v>
      </c>
      <c r="K144" s="712">
        <f>'Order form'!Q355</f>
        <v>20</v>
      </c>
      <c r="L144" s="710">
        <f t="shared" si="12"/>
        <v>0</v>
      </c>
      <c r="M144" s="711">
        <f t="shared" si="13"/>
        <v>7.48</v>
      </c>
      <c r="N144" s="381">
        <f t="shared" ref="N144:N207" si="19">IF(C144=0,N143,N143+1)</f>
        <v>13</v>
      </c>
      <c r="O144" s="1275"/>
    </row>
    <row r="145" spans="1:15" s="386" customFormat="1" ht="12.6" customHeight="1" x14ac:dyDescent="0.2">
      <c r="A145" s="646" t="s">
        <v>154</v>
      </c>
      <c r="B145" s="647" t="s">
        <v>557</v>
      </c>
      <c r="C145" s="645">
        <f>'Order form'!U354</f>
        <v>0</v>
      </c>
      <c r="D145" s="645" t="str">
        <f>'Order form'!S352</f>
        <v>L-M77012</v>
      </c>
      <c r="E145" s="645" t="s">
        <v>739</v>
      </c>
      <c r="F145" s="217">
        <f>'Order form'!S354</f>
        <v>1100</v>
      </c>
      <c r="G145" s="217">
        <f t="shared" si="11"/>
        <v>0</v>
      </c>
      <c r="H145" s="218">
        <v>37</v>
      </c>
      <c r="I145" s="219">
        <f t="shared" si="18"/>
        <v>0</v>
      </c>
      <c r="J145" s="219" t="s">
        <v>22</v>
      </c>
      <c r="K145" s="729">
        <v>1</v>
      </c>
      <c r="L145" s="219">
        <f t="shared" si="12"/>
        <v>0</v>
      </c>
      <c r="M145" s="648">
        <f t="shared" si="13"/>
        <v>37</v>
      </c>
      <c r="N145" s="381">
        <f t="shared" si="19"/>
        <v>13</v>
      </c>
      <c r="O145" s="1275"/>
    </row>
    <row r="146" spans="1:15" s="386" customFormat="1" ht="12.6" customHeight="1" x14ac:dyDescent="0.2">
      <c r="A146" s="646" t="s">
        <v>154</v>
      </c>
      <c r="B146" s="647" t="s">
        <v>557</v>
      </c>
      <c r="C146" s="645">
        <f>'Order form'!Z354</f>
        <v>0</v>
      </c>
      <c r="D146" s="645" t="str">
        <f>'Order form'!X352</f>
        <v>L-C77012</v>
      </c>
      <c r="E146" s="645" t="s">
        <v>740</v>
      </c>
      <c r="F146" s="217">
        <f>'Order form'!X354</f>
        <v>700</v>
      </c>
      <c r="G146" s="217">
        <f t="shared" si="11"/>
        <v>0</v>
      </c>
      <c r="H146" s="218">
        <v>30</v>
      </c>
      <c r="I146" s="219">
        <f t="shared" si="18"/>
        <v>0</v>
      </c>
      <c r="J146" s="219" t="s">
        <v>22</v>
      </c>
      <c r="K146" s="729">
        <f>'Order form'!V355</f>
        <v>1</v>
      </c>
      <c r="L146" s="219">
        <f t="shared" si="12"/>
        <v>0</v>
      </c>
      <c r="M146" s="648">
        <f t="shared" si="13"/>
        <v>30</v>
      </c>
      <c r="N146" s="381">
        <f t="shared" si="19"/>
        <v>13</v>
      </c>
      <c r="O146" s="1275"/>
    </row>
    <row r="147" spans="1:15" s="386" customFormat="1" x14ac:dyDescent="0.2">
      <c r="A147" s="646" t="s">
        <v>501</v>
      </c>
      <c r="B147" s="647" t="s">
        <v>158</v>
      </c>
      <c r="C147" s="645">
        <f>'Order form'!F365</f>
        <v>0</v>
      </c>
      <c r="D147" s="645" t="str">
        <f>'Order form'!D363</f>
        <v>FL-COU14-100LBS</v>
      </c>
      <c r="E147" s="645" t="s">
        <v>797</v>
      </c>
      <c r="F147" s="217">
        <f>'Order form'!D365</f>
        <v>18</v>
      </c>
      <c r="G147" s="217">
        <f t="shared" si="11"/>
        <v>0</v>
      </c>
      <c r="H147" s="218">
        <v>2.34</v>
      </c>
      <c r="I147" s="219">
        <f t="shared" si="18"/>
        <v>0</v>
      </c>
      <c r="J147" s="219" t="s">
        <v>465</v>
      </c>
      <c r="K147" s="219">
        <f>'Order form'!G366</f>
        <v>10</v>
      </c>
      <c r="L147" s="219">
        <f t="shared" si="12"/>
        <v>0</v>
      </c>
      <c r="M147" s="648">
        <f t="shared" si="13"/>
        <v>23.4</v>
      </c>
      <c r="N147" s="381">
        <f t="shared" si="19"/>
        <v>13</v>
      </c>
      <c r="O147" s="1275"/>
    </row>
    <row r="148" spans="1:15" s="386" customFormat="1" x14ac:dyDescent="0.2">
      <c r="A148" s="646" t="s">
        <v>501</v>
      </c>
      <c r="B148" s="647" t="s">
        <v>158</v>
      </c>
      <c r="C148" s="645">
        <f>'Order form'!K365</f>
        <v>0</v>
      </c>
      <c r="D148" s="645" t="str">
        <f>'Order form'!I363</f>
        <v>FL-COU20-100LBS</v>
      </c>
      <c r="E148" s="645" t="s">
        <v>798</v>
      </c>
      <c r="F148" s="217">
        <f>'Order form'!I365</f>
        <v>19</v>
      </c>
      <c r="G148" s="217">
        <f t="shared" si="11"/>
        <v>0</v>
      </c>
      <c r="H148" s="218">
        <v>3.38</v>
      </c>
      <c r="I148" s="219">
        <f t="shared" si="18"/>
        <v>0</v>
      </c>
      <c r="J148" s="219" t="s">
        <v>465</v>
      </c>
      <c r="K148" s="219">
        <f>'Order form'!L366</f>
        <v>10</v>
      </c>
      <c r="L148" s="219">
        <f t="shared" si="12"/>
        <v>0</v>
      </c>
      <c r="M148" s="648">
        <f t="shared" si="13"/>
        <v>33.799999999999997</v>
      </c>
      <c r="N148" s="381">
        <f t="shared" si="19"/>
        <v>13</v>
      </c>
      <c r="O148" s="1275"/>
    </row>
    <row r="149" spans="1:15" s="386" customFormat="1" x14ac:dyDescent="0.2">
      <c r="A149" s="646" t="s">
        <v>501</v>
      </c>
      <c r="B149" s="647" t="s">
        <v>158</v>
      </c>
      <c r="C149" s="645">
        <f>'Order form'!P365</f>
        <v>0</v>
      </c>
      <c r="D149" s="645" t="str">
        <f>'Order form'!N363</f>
        <v>FL-COU24-100LBS</v>
      </c>
      <c r="E149" s="645" t="s">
        <v>799</v>
      </c>
      <c r="F149" s="217">
        <f>'Order form'!N365</f>
        <v>22</v>
      </c>
      <c r="G149" s="217">
        <f t="shared" si="11"/>
        <v>0</v>
      </c>
      <c r="H149" s="218">
        <v>4.12</v>
      </c>
      <c r="I149" s="219">
        <f t="shared" si="18"/>
        <v>0</v>
      </c>
      <c r="J149" s="219" t="s">
        <v>465</v>
      </c>
      <c r="K149" s="219">
        <f>'Order form'!Q366</f>
        <v>10</v>
      </c>
      <c r="L149" s="219">
        <f t="shared" ref="L149:L182" si="20">C149/K149</f>
        <v>0</v>
      </c>
      <c r="M149" s="648">
        <f t="shared" ref="M149:M181" si="21">K149*H149</f>
        <v>41.2</v>
      </c>
      <c r="N149" s="381">
        <f t="shared" si="19"/>
        <v>13</v>
      </c>
      <c r="O149" s="1275"/>
    </row>
    <row r="150" spans="1:15" s="386" customFormat="1" x14ac:dyDescent="0.2">
      <c r="A150" s="646" t="s">
        <v>153</v>
      </c>
      <c r="B150" s="647" t="s">
        <v>158</v>
      </c>
      <c r="C150" s="645">
        <f>'Order form'!U365</f>
        <v>0</v>
      </c>
      <c r="D150" s="645" t="str">
        <f>'Order form'!S363</f>
        <v>FL-COU-U</v>
      </c>
      <c r="E150" s="645" t="s">
        <v>741</v>
      </c>
      <c r="F150" s="217">
        <f>'Order form'!S365</f>
        <v>0.5</v>
      </c>
      <c r="G150" s="217">
        <f t="shared" si="11"/>
        <v>0</v>
      </c>
      <c r="H150" s="218">
        <v>8.14E-2</v>
      </c>
      <c r="I150" s="219">
        <f t="shared" si="18"/>
        <v>0</v>
      </c>
      <c r="J150" s="219" t="s">
        <v>22</v>
      </c>
      <c r="K150" s="219">
        <f>'Order form'!V366</f>
        <v>400</v>
      </c>
      <c r="L150" s="219">
        <f t="shared" si="20"/>
        <v>0</v>
      </c>
      <c r="M150" s="648">
        <f t="shared" si="21"/>
        <v>32.56</v>
      </c>
      <c r="N150" s="381">
        <f t="shared" si="19"/>
        <v>13</v>
      </c>
      <c r="O150" s="1275"/>
    </row>
    <row r="151" spans="1:15" s="386" customFormat="1" x14ac:dyDescent="0.2">
      <c r="A151" s="646" t="s">
        <v>153</v>
      </c>
      <c r="B151" s="647" t="s">
        <v>158</v>
      </c>
      <c r="C151" s="645">
        <f>'Order form'!Z365</f>
        <v>0</v>
      </c>
      <c r="D151" s="645" t="str">
        <f>'Order form'!X363</f>
        <v>AW-ROLLER</v>
      </c>
      <c r="E151" s="645" t="s">
        <v>742</v>
      </c>
      <c r="F151" s="217">
        <f>'Order form'!X365</f>
        <v>7</v>
      </c>
      <c r="G151" s="217">
        <f t="shared" si="11"/>
        <v>0</v>
      </c>
      <c r="H151" s="218">
        <v>0.22900000000000001</v>
      </c>
      <c r="I151" s="219">
        <f t="shared" si="18"/>
        <v>0</v>
      </c>
      <c r="J151" s="219" t="s">
        <v>22</v>
      </c>
      <c r="K151" s="219">
        <f>'Order form'!AA366</f>
        <v>35</v>
      </c>
      <c r="L151" s="219">
        <f t="shared" si="20"/>
        <v>0</v>
      </c>
      <c r="M151" s="648">
        <f t="shared" si="21"/>
        <v>8.0150000000000006</v>
      </c>
      <c r="N151" s="381">
        <f t="shared" si="19"/>
        <v>13</v>
      </c>
      <c r="O151" s="1275"/>
    </row>
    <row r="152" spans="1:15" s="386" customFormat="1" x14ac:dyDescent="0.2">
      <c r="A152" s="646" t="s">
        <v>155</v>
      </c>
      <c r="B152" s="647" t="s">
        <v>158</v>
      </c>
      <c r="C152" s="645">
        <f>'Order form'!F376</f>
        <v>0</v>
      </c>
      <c r="D152" s="645" t="str">
        <f>'Order form'!D374</f>
        <v>CO-LWM</v>
      </c>
      <c r="E152" s="645" t="s">
        <v>746</v>
      </c>
      <c r="F152" s="217">
        <f>'Order form'!D376</f>
        <v>45</v>
      </c>
      <c r="G152" s="217">
        <f t="shared" si="11"/>
        <v>0</v>
      </c>
      <c r="H152" s="218">
        <v>3.0859999999999999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48">
        <f t="shared" si="21"/>
        <v>3.0859999999999999</v>
      </c>
      <c r="N152" s="381">
        <f t="shared" si="19"/>
        <v>13</v>
      </c>
      <c r="O152" s="1275"/>
    </row>
    <row r="153" spans="1:15" s="386" customFormat="1" x14ac:dyDescent="0.2">
      <c r="A153" s="646" t="s">
        <v>155</v>
      </c>
      <c r="B153" s="647" t="s">
        <v>158</v>
      </c>
      <c r="C153" s="645">
        <f>'Order form'!K376</f>
        <v>0</v>
      </c>
      <c r="D153" s="645" t="str">
        <f>'Order form'!I374</f>
        <v>CO-LWF</v>
      </c>
      <c r="E153" s="645" t="s">
        <v>745</v>
      </c>
      <c r="F153" s="217">
        <f>'Order form'!I376</f>
        <v>95</v>
      </c>
      <c r="G153" s="217">
        <f t="shared" si="11"/>
        <v>0</v>
      </c>
      <c r="H153" s="218">
        <v>8.5020000000000007</v>
      </c>
      <c r="I153" s="219">
        <f t="shared" si="18"/>
        <v>0</v>
      </c>
      <c r="J153" s="219" t="s">
        <v>22</v>
      </c>
      <c r="K153" s="219">
        <v>1</v>
      </c>
      <c r="L153" s="219">
        <f t="shared" si="20"/>
        <v>0</v>
      </c>
      <c r="M153" s="648">
        <f t="shared" si="21"/>
        <v>8.5020000000000007</v>
      </c>
      <c r="N153" s="381">
        <f t="shared" si="19"/>
        <v>13</v>
      </c>
      <c r="O153" s="1275"/>
    </row>
    <row r="154" spans="1:15" s="386" customFormat="1" x14ac:dyDescent="0.2">
      <c r="A154" s="646" t="s">
        <v>155</v>
      </c>
      <c r="B154" s="647" t="s">
        <v>158</v>
      </c>
      <c r="C154" s="645">
        <f>'Order form'!P376</f>
        <v>0</v>
      </c>
      <c r="D154" s="645" t="str">
        <f>'Order form'!N374</f>
        <v>CO-SLM</v>
      </c>
      <c r="E154" s="645" t="s">
        <v>744</v>
      </c>
      <c r="F154" s="217">
        <f>'Order form'!N376</f>
        <v>45</v>
      </c>
      <c r="G154" s="217">
        <f t="shared" si="11"/>
        <v>0</v>
      </c>
      <c r="H154" s="218">
        <v>3.2040000000000002</v>
      </c>
      <c r="I154" s="219">
        <f t="shared" si="18"/>
        <v>0</v>
      </c>
      <c r="J154" s="219" t="s">
        <v>22</v>
      </c>
      <c r="K154" s="219">
        <v>1</v>
      </c>
      <c r="L154" s="219">
        <f t="shared" si="20"/>
        <v>0</v>
      </c>
      <c r="M154" s="648">
        <f t="shared" si="21"/>
        <v>3.2040000000000002</v>
      </c>
      <c r="N154" s="381">
        <f t="shared" si="19"/>
        <v>13</v>
      </c>
      <c r="O154" s="1275"/>
    </row>
    <row r="155" spans="1:15" s="386" customFormat="1" x14ac:dyDescent="0.2">
      <c r="A155" s="646" t="s">
        <v>155</v>
      </c>
      <c r="B155" s="647" t="s">
        <v>158</v>
      </c>
      <c r="C155" s="645">
        <f>'Order form'!U376</f>
        <v>0</v>
      </c>
      <c r="D155" s="645" t="str">
        <f>'Order form'!S374</f>
        <v>CO-SLF</v>
      </c>
      <c r="E155" s="645" t="s">
        <v>743</v>
      </c>
      <c r="F155" s="217">
        <f>'Order form'!S376</f>
        <v>115</v>
      </c>
      <c r="G155" s="217">
        <f t="shared" si="11"/>
        <v>0</v>
      </c>
      <c r="H155" s="218">
        <v>11.603999999999999</v>
      </c>
      <c r="I155" s="219">
        <f t="shared" si="18"/>
        <v>0</v>
      </c>
      <c r="J155" s="219" t="s">
        <v>22</v>
      </c>
      <c r="K155" s="219">
        <v>1</v>
      </c>
      <c r="L155" s="219">
        <f t="shared" si="20"/>
        <v>0</v>
      </c>
      <c r="M155" s="648">
        <f t="shared" si="21"/>
        <v>11.603999999999999</v>
      </c>
      <c r="N155" s="381">
        <f t="shared" si="19"/>
        <v>13</v>
      </c>
      <c r="O155" s="1276"/>
    </row>
    <row r="156" spans="1:15" s="649" customFormat="1" ht="12.6" customHeight="1" x14ac:dyDescent="0.2">
      <c r="A156" s="379" t="s">
        <v>154</v>
      </c>
      <c r="B156" s="380" t="s">
        <v>159</v>
      </c>
      <c r="C156" s="381">
        <f>'Order form'!F388</f>
        <v>0</v>
      </c>
      <c r="D156" s="381" t="str">
        <f>'Order form'!D386</f>
        <v>D-HDPEW-481/2</v>
      </c>
      <c r="E156" s="381" t="s">
        <v>747</v>
      </c>
      <c r="F156" s="382">
        <f>'Order form'!D388</f>
        <v>175</v>
      </c>
      <c r="G156" s="382">
        <f t="shared" si="11"/>
        <v>0</v>
      </c>
      <c r="H156" s="383">
        <v>80</v>
      </c>
      <c r="I156" s="384">
        <f t="shared" si="18"/>
        <v>0</v>
      </c>
      <c r="J156" s="384" t="s">
        <v>2</v>
      </c>
      <c r="K156" s="384">
        <v>1</v>
      </c>
      <c r="L156" s="384">
        <f t="shared" si="20"/>
        <v>0</v>
      </c>
      <c r="M156" s="385">
        <f t="shared" si="21"/>
        <v>80</v>
      </c>
      <c r="N156" s="381">
        <f t="shared" si="19"/>
        <v>13</v>
      </c>
      <c r="O156" s="1271">
        <f>SUM(G156:G159)</f>
        <v>0</v>
      </c>
    </row>
    <row r="157" spans="1:15" s="649" customFormat="1" ht="12.6" customHeight="1" x14ac:dyDescent="0.2">
      <c r="A157" s="379" t="s">
        <v>154</v>
      </c>
      <c r="B157" s="380" t="s">
        <v>159</v>
      </c>
      <c r="C157" s="381">
        <f>'Order form'!K388</f>
        <v>0</v>
      </c>
      <c r="D157" s="381" t="str">
        <f>'Order form'!I386</f>
        <v>D-HDPEW-481/4</v>
      </c>
      <c r="E157" s="381" t="s">
        <v>748</v>
      </c>
      <c r="F157" s="382">
        <f>'Order form'!I388</f>
        <v>105</v>
      </c>
      <c r="G157" s="382">
        <f t="shared" si="11"/>
        <v>0</v>
      </c>
      <c r="H157" s="383">
        <v>40</v>
      </c>
      <c r="I157" s="384">
        <f t="shared" si="18"/>
        <v>0</v>
      </c>
      <c r="J157" s="384" t="s">
        <v>2</v>
      </c>
      <c r="K157" s="384">
        <v>1</v>
      </c>
      <c r="L157" s="384">
        <f t="shared" si="20"/>
        <v>0</v>
      </c>
      <c r="M157" s="385">
        <f t="shared" si="21"/>
        <v>40</v>
      </c>
      <c r="N157" s="381">
        <f t="shared" si="19"/>
        <v>13</v>
      </c>
      <c r="O157" s="1272"/>
    </row>
    <row r="158" spans="1:15" s="649" customFormat="1" ht="12.6" customHeight="1" x14ac:dyDescent="0.2">
      <c r="A158" s="379" t="s">
        <v>155</v>
      </c>
      <c r="B158" s="380" t="s">
        <v>159</v>
      </c>
      <c r="C158" s="381">
        <f>'Order form'!P388</f>
        <v>0</v>
      </c>
      <c r="D158" s="381" t="str">
        <f>'Order form'!N386</f>
        <v>D-HDPEB-481/2</v>
      </c>
      <c r="E158" s="381" t="s">
        <v>749</v>
      </c>
      <c r="F158" s="382">
        <f>'Order form'!N388</f>
        <v>160</v>
      </c>
      <c r="G158" s="382">
        <f t="shared" si="11"/>
        <v>0</v>
      </c>
      <c r="H158" s="383">
        <v>80</v>
      </c>
      <c r="I158" s="384">
        <f t="shared" si="18"/>
        <v>0</v>
      </c>
      <c r="J158" s="384" t="s">
        <v>2</v>
      </c>
      <c r="K158" s="384">
        <v>1</v>
      </c>
      <c r="L158" s="384">
        <f t="shared" si="20"/>
        <v>0</v>
      </c>
      <c r="M158" s="385">
        <f t="shared" si="21"/>
        <v>80</v>
      </c>
      <c r="N158" s="381">
        <f t="shared" si="19"/>
        <v>13</v>
      </c>
      <c r="O158" s="1272"/>
    </row>
    <row r="159" spans="1:15" s="649" customFormat="1" ht="12.6" customHeight="1" x14ac:dyDescent="0.2">
      <c r="A159" s="379" t="s">
        <v>155</v>
      </c>
      <c r="B159" s="380" t="s">
        <v>159</v>
      </c>
      <c r="C159" s="381">
        <f>'Order form'!U388</f>
        <v>0</v>
      </c>
      <c r="D159" s="381" t="str">
        <f>'Order form'!S386</f>
        <v>D-HDPEB-481/4</v>
      </c>
      <c r="E159" s="381" t="s">
        <v>750</v>
      </c>
      <c r="F159" s="382">
        <f>'Order form'!S388</f>
        <v>90</v>
      </c>
      <c r="G159" s="382">
        <f t="shared" si="11"/>
        <v>0</v>
      </c>
      <c r="H159" s="383">
        <v>40</v>
      </c>
      <c r="I159" s="384">
        <f t="shared" si="18"/>
        <v>0</v>
      </c>
      <c r="J159" s="384" t="s">
        <v>2</v>
      </c>
      <c r="K159" s="384">
        <v>1</v>
      </c>
      <c r="L159" s="384">
        <f t="shared" si="20"/>
        <v>0</v>
      </c>
      <c r="M159" s="385">
        <f t="shared" si="21"/>
        <v>40</v>
      </c>
      <c r="N159" s="381">
        <f t="shared" si="19"/>
        <v>13</v>
      </c>
      <c r="O159" s="1273"/>
    </row>
    <row r="160" spans="1:15" s="386" customFormat="1" x14ac:dyDescent="0.2">
      <c r="A160" s="646" t="s">
        <v>153</v>
      </c>
      <c r="B160" s="647" t="s">
        <v>558</v>
      </c>
      <c r="C160" s="645">
        <f>'Order form'!F400+('Order form'!F145)+('Order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form'!F178*1)+('Order form'!K178*1)+('Order form'!P178*2)+('Order form'!U178*2)</f>
        <v>140</v>
      </c>
      <c r="D160" s="645" t="str">
        <f>'Order form'!D398</f>
        <v>M6-25B</v>
      </c>
      <c r="E160" s="645" t="s">
        <v>752</v>
      </c>
      <c r="F160" s="217">
        <f>'Order form'!D400</f>
        <v>7.0000000000000007E-2</v>
      </c>
      <c r="G160" s="217">
        <f t="shared" si="11"/>
        <v>9.8000000000000007</v>
      </c>
      <c r="H160" s="218">
        <v>1.54E-2</v>
      </c>
      <c r="I160" s="219">
        <f t="shared" si="18"/>
        <v>2.1560000000000001</v>
      </c>
      <c r="J160" s="219" t="s">
        <v>22</v>
      </c>
      <c r="K160" s="729">
        <f>'Order form'!G401</f>
        <v>200</v>
      </c>
      <c r="L160" s="219">
        <f t="shared" si="20"/>
        <v>0.7</v>
      </c>
      <c r="M160" s="648">
        <f t="shared" si="21"/>
        <v>3.08</v>
      </c>
      <c r="N160" s="381">
        <f t="shared" si="19"/>
        <v>14</v>
      </c>
      <c r="O160" s="1259">
        <f>SUM(G160:G181)</f>
        <v>23.200000000000003</v>
      </c>
    </row>
    <row r="161" spans="1:15" s="386" customFormat="1" x14ac:dyDescent="0.2">
      <c r="A161" s="646" t="s">
        <v>153</v>
      </c>
      <c r="B161" s="647" t="s">
        <v>558</v>
      </c>
      <c r="C161" s="645">
        <f>'Order form'!K400+'Order form'!F145+('Order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form'!Z167*1)+('Order form'!F178*1)+('Order form'!P178*2)+('Order form'!K178*1)+('Order form'!U178*2)</f>
        <v>140</v>
      </c>
      <c r="D161" s="645" t="str">
        <f>'Order form'!I398</f>
        <v>M6-N</v>
      </c>
      <c r="E161" s="645" t="s">
        <v>753</v>
      </c>
      <c r="F161" s="217">
        <f>'Order form'!I400</f>
        <v>0.06</v>
      </c>
      <c r="G161" s="217">
        <f t="shared" si="11"/>
        <v>8.4</v>
      </c>
      <c r="H161" s="218">
        <v>4.4000000000000003E-3</v>
      </c>
      <c r="I161" s="219">
        <f t="shared" si="18"/>
        <v>0.61599999999999999</v>
      </c>
      <c r="J161" s="219" t="s">
        <v>22</v>
      </c>
      <c r="K161" s="729">
        <f>'Order form'!L401</f>
        <v>200</v>
      </c>
      <c r="L161" s="219">
        <f t="shared" si="20"/>
        <v>0.7</v>
      </c>
      <c r="M161" s="648">
        <f t="shared" si="21"/>
        <v>0.88</v>
      </c>
      <c r="N161" s="381">
        <f t="shared" si="19"/>
        <v>15</v>
      </c>
      <c r="O161" s="1260"/>
    </row>
    <row r="162" spans="1:15" s="386" customFormat="1" x14ac:dyDescent="0.2">
      <c r="A162" s="646" t="s">
        <v>153</v>
      </c>
      <c r="B162" s="647" t="s">
        <v>558</v>
      </c>
      <c r="C162" s="645">
        <f>'Order form'!P400+('Order form'!Z167*1)</f>
        <v>0</v>
      </c>
      <c r="D162" s="645" t="str">
        <f>'Order form'!N398</f>
        <v>M6-12B</v>
      </c>
      <c r="E162" s="645" t="s">
        <v>751</v>
      </c>
      <c r="F162" s="217">
        <f>'Order form'!N400</f>
        <v>7.0000000000000007E-2</v>
      </c>
      <c r="G162" s="217">
        <f t="shared" si="11"/>
        <v>0</v>
      </c>
      <c r="H162" s="218">
        <v>1.0999999999999999E-2</v>
      </c>
      <c r="I162" s="219">
        <f t="shared" si="18"/>
        <v>0</v>
      </c>
      <c r="J162" s="219" t="s">
        <v>22</v>
      </c>
      <c r="K162" s="729">
        <f>'Order form'!Q401</f>
        <v>200</v>
      </c>
      <c r="L162" s="219">
        <f t="shared" si="20"/>
        <v>0</v>
      </c>
      <c r="M162" s="648">
        <f t="shared" si="21"/>
        <v>2.1999999999999997</v>
      </c>
      <c r="N162" s="381">
        <f t="shared" si="19"/>
        <v>15</v>
      </c>
      <c r="O162" s="1260"/>
    </row>
    <row r="163" spans="1:15" s="386" customFormat="1" x14ac:dyDescent="0.2">
      <c r="A163" s="646" t="s">
        <v>153</v>
      </c>
      <c r="B163" s="647" t="s">
        <v>558</v>
      </c>
      <c r="C163" s="645">
        <f>'Order form'!$U$400</f>
        <v>0</v>
      </c>
      <c r="D163" s="645" t="str">
        <f>'Order form'!$S$398</f>
        <v>M6-25BTL</v>
      </c>
      <c r="E163" s="645" t="s">
        <v>754</v>
      </c>
      <c r="F163" s="217">
        <f>'Order form'!$S$400</f>
        <v>0.1</v>
      </c>
      <c r="G163" s="217">
        <f t="shared" si="11"/>
        <v>0</v>
      </c>
      <c r="H163" s="218">
        <v>1.4999999999999999E-2</v>
      </c>
      <c r="I163" s="219">
        <f t="shared" si="18"/>
        <v>0</v>
      </c>
      <c r="J163" s="219" t="s">
        <v>22</v>
      </c>
      <c r="K163" s="729">
        <f>'Order form'!$V$401</f>
        <v>200</v>
      </c>
      <c r="L163" s="219">
        <f t="shared" si="20"/>
        <v>0</v>
      </c>
      <c r="M163" s="648">
        <f t="shared" si="21"/>
        <v>3</v>
      </c>
      <c r="N163" s="381">
        <f t="shared" si="19"/>
        <v>15</v>
      </c>
      <c r="O163" s="1260"/>
    </row>
    <row r="164" spans="1:15" s="386" customFormat="1" x14ac:dyDescent="0.2">
      <c r="A164" s="646" t="s">
        <v>153</v>
      </c>
      <c r="B164" s="647" t="s">
        <v>558</v>
      </c>
      <c r="C164" s="645">
        <f>'Order form'!Z400</f>
        <v>0</v>
      </c>
      <c r="D164" s="645" t="str">
        <f>'Order form'!X398</f>
        <v>M6-25BHAN</v>
      </c>
      <c r="E164" s="645" t="s">
        <v>869</v>
      </c>
      <c r="F164" s="217">
        <f>'Order form'!X400</f>
        <v>4.25</v>
      </c>
      <c r="G164" s="217">
        <f t="shared" si="11"/>
        <v>0</v>
      </c>
      <c r="H164" s="218">
        <v>0.1694</v>
      </c>
      <c r="I164" s="219">
        <f t="shared" si="18"/>
        <v>0</v>
      </c>
      <c r="J164" s="219" t="s">
        <v>22</v>
      </c>
      <c r="K164" s="729">
        <f>'Order form'!AA401</f>
        <v>500</v>
      </c>
      <c r="L164" s="219">
        <f t="shared" si="20"/>
        <v>0</v>
      </c>
      <c r="M164" s="648">
        <f t="shared" si="21"/>
        <v>84.7</v>
      </c>
      <c r="N164" s="381">
        <f t="shared" si="19"/>
        <v>15</v>
      </c>
      <c r="O164" s="1260"/>
    </row>
    <row r="165" spans="1:15" s="386" customFormat="1" x14ac:dyDescent="0.2">
      <c r="A165" s="646" t="s">
        <v>153</v>
      </c>
      <c r="B165" s="647" t="s">
        <v>558</v>
      </c>
      <c r="C165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form'!F411+('Order form'!U276*2)</f>
        <v>0</v>
      </c>
      <c r="D165" s="645" t="str">
        <f>'Order form'!D409</f>
        <v>M6-25BWZ</v>
      </c>
      <c r="E165" s="645" t="s">
        <v>755</v>
      </c>
      <c r="F165" s="217">
        <f>'Order form'!D411</f>
        <v>7.0000000000000007E-2</v>
      </c>
      <c r="G165" s="217">
        <f t="shared" si="11"/>
        <v>0</v>
      </c>
      <c r="H165" s="218">
        <v>1.54E-2</v>
      </c>
      <c r="I165" s="219">
        <f t="shared" si="18"/>
        <v>0</v>
      </c>
      <c r="J165" s="219" t="s">
        <v>22</v>
      </c>
      <c r="K165" s="729">
        <f>'Order form'!G412</f>
        <v>200</v>
      </c>
      <c r="L165" s="219">
        <f t="shared" si="20"/>
        <v>0</v>
      </c>
      <c r="M165" s="648">
        <f t="shared" si="21"/>
        <v>3.08</v>
      </c>
      <c r="N165" s="381">
        <f t="shared" si="19"/>
        <v>15</v>
      </c>
      <c r="O165" s="1260"/>
    </row>
    <row r="166" spans="1:15" s="386" customFormat="1" x14ac:dyDescent="0.2">
      <c r="A166" s="646" t="s">
        <v>153</v>
      </c>
      <c r="B166" s="647" t="s">
        <v>558</v>
      </c>
      <c r="C166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form'!Z265+'Order form'!K411+('Order form'!U276*2)</f>
        <v>0</v>
      </c>
      <c r="D166" s="645" t="str">
        <f>'Order form'!I409</f>
        <v>M6-NWZ</v>
      </c>
      <c r="E166" s="645" t="s">
        <v>756</v>
      </c>
      <c r="F166" s="217">
        <f>'Order form'!I411</f>
        <v>0.06</v>
      </c>
      <c r="G166" s="217">
        <f t="shared" si="11"/>
        <v>0</v>
      </c>
      <c r="H166" s="218">
        <v>4.4000000000000003E-3</v>
      </c>
      <c r="I166" s="219">
        <f t="shared" si="18"/>
        <v>0</v>
      </c>
      <c r="J166" s="219" t="s">
        <v>22</v>
      </c>
      <c r="K166" s="729">
        <f>'Order form'!L412</f>
        <v>200</v>
      </c>
      <c r="L166" s="219">
        <f t="shared" si="20"/>
        <v>0</v>
      </c>
      <c r="M166" s="648">
        <f t="shared" si="21"/>
        <v>0.88</v>
      </c>
      <c r="N166" s="381">
        <f t="shared" si="19"/>
        <v>15</v>
      </c>
      <c r="O166" s="1260"/>
    </row>
    <row r="167" spans="1:15" s="386" customFormat="1" x14ac:dyDescent="0.2">
      <c r="A167" s="646" t="s">
        <v>153</v>
      </c>
      <c r="B167" s="647" t="s">
        <v>558</v>
      </c>
      <c r="C167" s="645">
        <f>'Order form'!P411+('Order form'!Z254*1)</f>
        <v>0</v>
      </c>
      <c r="D167" s="645" t="str">
        <f>'Order form'!N409</f>
        <v>M6-12BWZ</v>
      </c>
      <c r="E167" s="645" t="s">
        <v>757</v>
      </c>
      <c r="F167" s="217">
        <f>'Order form'!N411</f>
        <v>7.0000000000000007E-2</v>
      </c>
      <c r="G167" s="217">
        <f t="shared" si="11"/>
        <v>0</v>
      </c>
      <c r="H167" s="218">
        <v>1.0999999999999999E-2</v>
      </c>
      <c r="I167" s="219">
        <f t="shared" si="18"/>
        <v>0</v>
      </c>
      <c r="J167" s="219" t="s">
        <v>22</v>
      </c>
      <c r="K167" s="729">
        <f>'Order form'!Q412</f>
        <v>200</v>
      </c>
      <c r="L167" s="219">
        <f t="shared" si="20"/>
        <v>0</v>
      </c>
      <c r="M167" s="648">
        <f t="shared" si="21"/>
        <v>2.1999999999999997</v>
      </c>
      <c r="N167" s="381">
        <f t="shared" si="19"/>
        <v>15</v>
      </c>
      <c r="O167" s="1260"/>
    </row>
    <row r="168" spans="1:15" s="386" customFormat="1" x14ac:dyDescent="0.2">
      <c r="A168" s="646" t="s">
        <v>153</v>
      </c>
      <c r="B168" s="647" t="s">
        <v>558</v>
      </c>
      <c r="C168" s="645">
        <f>'Order form'!$U$411</f>
        <v>0</v>
      </c>
      <c r="D168" s="645" t="str">
        <f>'Order form'!$S$409</f>
        <v>M6-25BWZTL</v>
      </c>
      <c r="E168" s="645" t="s">
        <v>758</v>
      </c>
      <c r="F168" s="217">
        <f>'Order form'!$S$411</f>
        <v>0.1</v>
      </c>
      <c r="G168" s="217">
        <f t="shared" si="11"/>
        <v>0</v>
      </c>
      <c r="H168" s="218">
        <v>1.4999999999999999E-2</v>
      </c>
      <c r="I168" s="219">
        <f t="shared" si="18"/>
        <v>0</v>
      </c>
      <c r="J168" s="219" t="s">
        <v>22</v>
      </c>
      <c r="K168" s="729">
        <f>'Order form'!$V$412</f>
        <v>200</v>
      </c>
      <c r="L168" s="219">
        <f t="shared" si="20"/>
        <v>0</v>
      </c>
      <c r="M168" s="648">
        <f t="shared" si="21"/>
        <v>3</v>
      </c>
      <c r="N168" s="381">
        <f t="shared" si="19"/>
        <v>15</v>
      </c>
      <c r="O168" s="1260"/>
    </row>
    <row r="169" spans="1:15" s="386" customFormat="1" x14ac:dyDescent="0.2">
      <c r="A169" s="646" t="s">
        <v>153</v>
      </c>
      <c r="B169" s="647" t="s">
        <v>559</v>
      </c>
      <c r="C169" s="645">
        <f>'Order form'!F423</f>
        <v>100</v>
      </c>
      <c r="D169" s="645" t="str">
        <f>'Order form'!D421</f>
        <v>F-A85/8</v>
      </c>
      <c r="E169" s="645" t="s">
        <v>761</v>
      </c>
      <c r="F169" s="217">
        <f>'Order form'!D423</f>
        <v>0.05</v>
      </c>
      <c r="G169" s="217">
        <f t="shared" si="11"/>
        <v>5</v>
      </c>
      <c r="H169" s="218">
        <v>1.8700000000000001E-2</v>
      </c>
      <c r="I169" s="219">
        <f t="shared" si="18"/>
        <v>1.87</v>
      </c>
      <c r="J169" s="219" t="s">
        <v>22</v>
      </c>
      <c r="K169" s="729">
        <f>'Order form'!G424</f>
        <v>100</v>
      </c>
      <c r="L169" s="219">
        <f t="shared" si="20"/>
        <v>1</v>
      </c>
      <c r="M169" s="648">
        <f t="shared" si="21"/>
        <v>1.87</v>
      </c>
      <c r="N169" s="381">
        <f t="shared" si="19"/>
        <v>16</v>
      </c>
      <c r="O169" s="1260"/>
    </row>
    <row r="170" spans="1:15" s="386" customFormat="1" x14ac:dyDescent="0.2">
      <c r="A170" s="646" t="s">
        <v>153</v>
      </c>
      <c r="B170" s="647" t="s">
        <v>559</v>
      </c>
      <c r="C170" s="645">
        <f>'Order form'!K423</f>
        <v>0</v>
      </c>
      <c r="D170" s="645" t="str">
        <f>'Order form'!I421</f>
        <v>F-SF81</v>
      </c>
      <c r="E170" s="645" t="s">
        <v>760</v>
      </c>
      <c r="F170" s="217">
        <f>'Order form'!I423</f>
        <v>0.06</v>
      </c>
      <c r="G170" s="217">
        <f t="shared" si="11"/>
        <v>0</v>
      </c>
      <c r="H170" s="218">
        <v>1.8700000000000001E-2</v>
      </c>
      <c r="I170" s="219">
        <f t="shared" si="18"/>
        <v>0</v>
      </c>
      <c r="J170" s="219" t="s">
        <v>22</v>
      </c>
      <c r="K170" s="729">
        <f>'Order form'!L424</f>
        <v>100</v>
      </c>
      <c r="L170" s="219">
        <f t="shared" si="20"/>
        <v>0</v>
      </c>
      <c r="M170" s="648">
        <f t="shared" si="21"/>
        <v>1.87</v>
      </c>
      <c r="N170" s="381">
        <f t="shared" si="19"/>
        <v>16</v>
      </c>
      <c r="O170" s="1260"/>
    </row>
    <row r="171" spans="1:15" s="386" customFormat="1" x14ac:dyDescent="0.2">
      <c r="A171" s="646" t="s">
        <v>153</v>
      </c>
      <c r="B171" s="647" t="s">
        <v>559</v>
      </c>
      <c r="C171" s="645">
        <f>'Order form'!P423</f>
        <v>0</v>
      </c>
      <c r="D171" s="645" t="str">
        <f>'Order form'!N421</f>
        <v>F-S81/2</v>
      </c>
      <c r="E171" s="645" t="s">
        <v>759</v>
      </c>
      <c r="F171" s="217">
        <f>'Order form'!N423</f>
        <v>0.04</v>
      </c>
      <c r="G171" s="217">
        <f t="shared" si="11"/>
        <v>0</v>
      </c>
      <c r="H171" s="218">
        <v>1.8700000000000001E-2</v>
      </c>
      <c r="I171" s="219">
        <f t="shared" si="18"/>
        <v>0</v>
      </c>
      <c r="J171" s="219" t="s">
        <v>22</v>
      </c>
      <c r="K171" s="729">
        <f>'Order form'!Q424</f>
        <v>100</v>
      </c>
      <c r="L171" s="219">
        <f t="shared" si="20"/>
        <v>0</v>
      </c>
      <c r="M171" s="648">
        <f t="shared" si="21"/>
        <v>1.87</v>
      </c>
      <c r="N171" s="381">
        <f t="shared" si="19"/>
        <v>16</v>
      </c>
      <c r="O171" s="1260"/>
    </row>
    <row r="172" spans="1:15" s="386" customFormat="1" x14ac:dyDescent="0.2">
      <c r="A172" s="646" t="s">
        <v>153</v>
      </c>
      <c r="B172" s="647" t="s">
        <v>158</v>
      </c>
      <c r="C172" s="645">
        <f>'Order form'!U423</f>
        <v>0</v>
      </c>
      <c r="D172" s="645" t="str">
        <f>'Order form'!S421</f>
        <v>F-BUS</v>
      </c>
      <c r="E172" s="645" t="s">
        <v>762</v>
      </c>
      <c r="F172" s="217">
        <f>'Order form'!S423</f>
        <v>1</v>
      </c>
      <c r="G172" s="217">
        <f t="shared" si="11"/>
        <v>0</v>
      </c>
      <c r="H172" s="218">
        <v>0.18479999999999999</v>
      </c>
      <c r="I172" s="219">
        <f t="shared" si="18"/>
        <v>0</v>
      </c>
      <c r="J172" s="730" t="s">
        <v>22</v>
      </c>
      <c r="K172" s="729">
        <f>'Order form'!V424</f>
        <v>200</v>
      </c>
      <c r="L172" s="219">
        <f t="shared" si="20"/>
        <v>0</v>
      </c>
      <c r="M172" s="648">
        <f t="shared" si="21"/>
        <v>36.96</v>
      </c>
      <c r="N172" s="381">
        <f t="shared" si="19"/>
        <v>16</v>
      </c>
      <c r="O172" s="1260"/>
    </row>
    <row r="173" spans="1:15" s="386" customFormat="1" x14ac:dyDescent="0.2">
      <c r="A173" s="646" t="s">
        <v>153</v>
      </c>
      <c r="B173" s="647" t="s">
        <v>158</v>
      </c>
      <c r="C173" s="645">
        <f>'Order form'!F434</f>
        <v>0</v>
      </c>
      <c r="D173" s="645" t="str">
        <f>'Order form'!D432</f>
        <v>WF-UP</v>
      </c>
      <c r="E173" s="645" t="s">
        <v>763</v>
      </c>
      <c r="F173" s="217">
        <f>'Order form'!D434</f>
        <v>0.8</v>
      </c>
      <c r="G173" s="217">
        <f t="shared" si="11"/>
        <v>0</v>
      </c>
      <c r="H173" s="218">
        <v>0.1804</v>
      </c>
      <c r="I173" s="219">
        <f t="shared" si="18"/>
        <v>0</v>
      </c>
      <c r="J173" s="219" t="s">
        <v>22</v>
      </c>
      <c r="K173" s="729">
        <f>'Order form'!G435</f>
        <v>180</v>
      </c>
      <c r="L173" s="219">
        <f t="shared" si="20"/>
        <v>0</v>
      </c>
      <c r="M173" s="648">
        <f t="shared" si="21"/>
        <v>32.472000000000001</v>
      </c>
      <c r="N173" s="381">
        <f t="shared" si="19"/>
        <v>16</v>
      </c>
      <c r="O173" s="1260"/>
    </row>
    <row r="174" spans="1:15" s="386" customFormat="1" x14ac:dyDescent="0.2">
      <c r="A174" s="646" t="s">
        <v>153</v>
      </c>
      <c r="B174" s="647" t="s">
        <v>158</v>
      </c>
      <c r="C174" s="645">
        <f>'Order form'!K434</f>
        <v>0</v>
      </c>
      <c r="D174" s="645" t="str">
        <f>'Order form'!I432</f>
        <v>WF-LOW</v>
      </c>
      <c r="E174" s="645" t="s">
        <v>764</v>
      </c>
      <c r="F174" s="217">
        <f>'Order form'!I434</f>
        <v>0.8</v>
      </c>
      <c r="G174" s="217">
        <f t="shared" si="11"/>
        <v>0</v>
      </c>
      <c r="H174" s="218">
        <v>0.17380000000000001</v>
      </c>
      <c r="I174" s="219">
        <f t="shared" si="18"/>
        <v>0</v>
      </c>
      <c r="J174" s="219" t="s">
        <v>22</v>
      </c>
      <c r="K174" s="729">
        <f>'Order form'!L435</f>
        <v>180</v>
      </c>
      <c r="L174" s="219">
        <f t="shared" si="20"/>
        <v>0</v>
      </c>
      <c r="M174" s="648">
        <f t="shared" si="21"/>
        <v>31.284000000000002</v>
      </c>
      <c r="N174" s="381">
        <f t="shared" si="19"/>
        <v>16</v>
      </c>
      <c r="O174" s="1260"/>
    </row>
    <row r="175" spans="1:15" s="386" customFormat="1" x14ac:dyDescent="0.2">
      <c r="A175" s="646" t="s">
        <v>153</v>
      </c>
      <c r="B175" s="647" t="s">
        <v>158</v>
      </c>
      <c r="C175" s="645">
        <f>'Order form'!P434</f>
        <v>0</v>
      </c>
      <c r="D175" s="645" t="str">
        <f>'Order form'!N432</f>
        <v>WF-LARGE</v>
      </c>
      <c r="E175" s="645" t="s">
        <v>765</v>
      </c>
      <c r="F175" s="217">
        <f>'Order form'!N434</f>
        <v>1</v>
      </c>
      <c r="G175" s="217">
        <f t="shared" si="11"/>
        <v>0</v>
      </c>
      <c r="H175" s="218">
        <v>0.23799999999999999</v>
      </c>
      <c r="I175" s="219">
        <f t="shared" si="18"/>
        <v>0</v>
      </c>
      <c r="J175" s="219" t="s">
        <v>22</v>
      </c>
      <c r="K175" s="729">
        <f>'Order form'!Q435</f>
        <v>90</v>
      </c>
      <c r="L175" s="219">
        <f t="shared" si="20"/>
        <v>0</v>
      </c>
      <c r="M175" s="648">
        <f t="shared" si="21"/>
        <v>21.419999999999998</v>
      </c>
      <c r="N175" s="381">
        <f t="shared" si="19"/>
        <v>16</v>
      </c>
      <c r="O175" s="1260"/>
    </row>
    <row r="176" spans="1:15" s="386" customFormat="1" x14ac:dyDescent="0.2">
      <c r="A176" s="646" t="s">
        <v>153</v>
      </c>
      <c r="B176" s="647" t="s">
        <v>158</v>
      </c>
      <c r="C176" s="645">
        <f>'Order form'!U434</f>
        <v>0</v>
      </c>
      <c r="D176" s="645" t="str">
        <f>'Order form'!S432</f>
        <v>WF-LPLATE</v>
      </c>
      <c r="E176" s="645" t="s">
        <v>767</v>
      </c>
      <c r="F176" s="217">
        <f>'Order form'!S434</f>
        <v>18</v>
      </c>
      <c r="G176" s="217">
        <f t="shared" si="11"/>
        <v>0</v>
      </c>
      <c r="H176" s="218">
        <v>4.2460000000000004</v>
      </c>
      <c r="I176" s="219">
        <f t="shared" si="18"/>
        <v>0</v>
      </c>
      <c r="J176" s="219" t="s">
        <v>22</v>
      </c>
      <c r="K176" s="729">
        <f>'Order form'!V435</f>
        <v>2</v>
      </c>
      <c r="L176" s="219">
        <f t="shared" si="20"/>
        <v>0</v>
      </c>
      <c r="M176" s="648">
        <f t="shared" si="21"/>
        <v>8.4920000000000009</v>
      </c>
      <c r="N176" s="381">
        <f t="shared" si="19"/>
        <v>16</v>
      </c>
      <c r="O176" s="1260"/>
    </row>
    <row r="177" spans="1:15" s="386" customFormat="1" x14ac:dyDescent="0.2">
      <c r="A177" s="646" t="s">
        <v>153</v>
      </c>
      <c r="B177" s="647" t="s">
        <v>158</v>
      </c>
      <c r="C177" s="645">
        <f>'Order form'!Z434</f>
        <v>0</v>
      </c>
      <c r="D177" s="645" t="str">
        <f>'Order form'!X432</f>
        <v>WF-RPLATE</v>
      </c>
      <c r="E177" s="645" t="s">
        <v>768</v>
      </c>
      <c r="F177" s="217">
        <f>'Order form'!X434</f>
        <v>18</v>
      </c>
      <c r="G177" s="217">
        <f t="shared" si="11"/>
        <v>0</v>
      </c>
      <c r="H177" s="218">
        <v>4.2460000000000004</v>
      </c>
      <c r="I177" s="219">
        <f t="shared" si="18"/>
        <v>0</v>
      </c>
      <c r="J177" s="219" t="s">
        <v>22</v>
      </c>
      <c r="K177" s="729">
        <f>'Order form'!AA435</f>
        <v>2</v>
      </c>
      <c r="L177" s="219">
        <f t="shared" si="20"/>
        <v>0</v>
      </c>
      <c r="M177" s="648">
        <f t="shared" si="21"/>
        <v>8.4920000000000009</v>
      </c>
      <c r="N177" s="381">
        <f t="shared" si="19"/>
        <v>16</v>
      </c>
      <c r="O177" s="1260"/>
    </row>
    <row r="178" spans="1:15" s="386" customFormat="1" x14ac:dyDescent="0.2">
      <c r="A178" s="646" t="s">
        <v>153</v>
      </c>
      <c r="B178" s="647" t="s">
        <v>157</v>
      </c>
      <c r="C178" s="645">
        <f>'Order form'!F445</f>
        <v>0</v>
      </c>
      <c r="D178" s="645" t="str">
        <f>'Order form'!D443</f>
        <v>M8-35B</v>
      </c>
      <c r="E178" s="645" t="s">
        <v>870</v>
      </c>
      <c r="F178" s="217">
        <f>'Order form'!D445</f>
        <v>0.15</v>
      </c>
      <c r="G178" s="217">
        <f t="shared" ref="G178:G216" si="22">F178*C178</f>
        <v>0</v>
      </c>
      <c r="H178" s="218">
        <v>3.7400000000000003E-2</v>
      </c>
      <c r="I178" s="219">
        <f t="shared" si="18"/>
        <v>0</v>
      </c>
      <c r="J178" s="219" t="s">
        <v>22</v>
      </c>
      <c r="K178" s="729">
        <f>'Order form'!G446</f>
        <v>800</v>
      </c>
      <c r="L178" s="219">
        <f t="shared" si="20"/>
        <v>0</v>
      </c>
      <c r="M178" s="648">
        <f t="shared" si="21"/>
        <v>29.92</v>
      </c>
      <c r="N178" s="381">
        <f t="shared" si="19"/>
        <v>16</v>
      </c>
      <c r="O178" s="1260"/>
    </row>
    <row r="179" spans="1:15" s="386" customFormat="1" x14ac:dyDescent="0.2">
      <c r="A179" s="646" t="s">
        <v>153</v>
      </c>
      <c r="B179" s="647" t="s">
        <v>157</v>
      </c>
      <c r="C179" s="645">
        <f>'Order form'!K445</f>
        <v>0</v>
      </c>
      <c r="D179" s="645" t="str">
        <f>'Order form'!I443</f>
        <v>M8-45B</v>
      </c>
      <c r="E179" s="645" t="s">
        <v>871</v>
      </c>
      <c r="F179" s="217">
        <f>'Order form'!I445</f>
        <v>0.15</v>
      </c>
      <c r="G179" s="217">
        <f t="shared" si="22"/>
        <v>0</v>
      </c>
      <c r="H179" s="218">
        <v>8.8000000000000005E-3</v>
      </c>
      <c r="I179" s="219">
        <f t="shared" si="18"/>
        <v>0</v>
      </c>
      <c r="J179" s="219" t="s">
        <v>22</v>
      </c>
      <c r="K179" s="729">
        <f>'Order form'!L446</f>
        <v>800</v>
      </c>
      <c r="L179" s="219">
        <f t="shared" si="20"/>
        <v>0</v>
      </c>
      <c r="M179" s="648">
        <f t="shared" si="21"/>
        <v>7.04</v>
      </c>
      <c r="N179" s="381">
        <f t="shared" si="19"/>
        <v>16</v>
      </c>
      <c r="O179" s="1260"/>
    </row>
    <row r="180" spans="1:15" s="386" customFormat="1" x14ac:dyDescent="0.2">
      <c r="A180" s="646" t="s">
        <v>153</v>
      </c>
      <c r="B180" s="647" t="s">
        <v>157</v>
      </c>
      <c r="C180" s="645">
        <f>'Order form'!P445</f>
        <v>0</v>
      </c>
      <c r="D180" s="645" t="str">
        <f>'Order form'!N443</f>
        <v>M8-N</v>
      </c>
      <c r="E180" s="645" t="s">
        <v>769</v>
      </c>
      <c r="F180" s="217">
        <f>'Order form'!N445</f>
        <v>0.06</v>
      </c>
      <c r="G180" s="217">
        <f t="shared" si="22"/>
        <v>0</v>
      </c>
      <c r="H180" s="218">
        <v>8.8000000000000005E-3</v>
      </c>
      <c r="I180" s="219">
        <f t="shared" ref="I180:I181" si="23">C180*H180</f>
        <v>0</v>
      </c>
      <c r="J180" s="219" t="s">
        <v>22</v>
      </c>
      <c r="K180" s="729">
        <f>'Order form'!Q446</f>
        <v>3000</v>
      </c>
      <c r="L180" s="219">
        <f t="shared" si="20"/>
        <v>0</v>
      </c>
      <c r="M180" s="648">
        <f t="shared" si="21"/>
        <v>26.400000000000002</v>
      </c>
      <c r="N180" s="381">
        <f t="shared" si="19"/>
        <v>16</v>
      </c>
      <c r="O180" s="1260"/>
    </row>
    <row r="181" spans="1:15" s="386" customFormat="1" x14ac:dyDescent="0.2">
      <c r="A181" s="646" t="s">
        <v>153</v>
      </c>
      <c r="B181" s="647" t="s">
        <v>157</v>
      </c>
      <c r="C181" s="645">
        <f>'Order form'!U445</f>
        <v>0</v>
      </c>
      <c r="D181" s="645" t="str">
        <f>'Order form'!S443</f>
        <v>F-W5/16</v>
      </c>
      <c r="E181" s="645" t="s">
        <v>872</v>
      </c>
      <c r="F181" s="217">
        <f>'Order form'!S445</f>
        <v>0.04</v>
      </c>
      <c r="G181" s="217">
        <f t="shared" si="22"/>
        <v>0</v>
      </c>
      <c r="H181" s="218">
        <v>1.8700000000000001E-2</v>
      </c>
      <c r="I181" s="219">
        <f t="shared" si="23"/>
        <v>0</v>
      </c>
      <c r="J181" s="219" t="s">
        <v>22</v>
      </c>
      <c r="K181" s="729">
        <f>'Order form'!V446</f>
        <v>3200</v>
      </c>
      <c r="L181" s="219">
        <f t="shared" si="20"/>
        <v>0</v>
      </c>
      <c r="M181" s="648">
        <f t="shared" si="21"/>
        <v>59.84</v>
      </c>
      <c r="N181" s="381">
        <f t="shared" si="19"/>
        <v>16</v>
      </c>
      <c r="O181" s="1261"/>
    </row>
    <row r="182" spans="1:15" s="649" customFormat="1" ht="12.6" customHeight="1" x14ac:dyDescent="0.2">
      <c r="A182" s="735" t="s">
        <v>153</v>
      </c>
      <c r="B182" s="736" t="s">
        <v>420</v>
      </c>
      <c r="C182" s="737">
        <f>'Order form'!F458</f>
        <v>4</v>
      </c>
      <c r="D182" s="737" t="str">
        <f>'Order form'!D456</f>
        <v>W-3ESB</v>
      </c>
      <c r="E182" s="737" t="s">
        <v>771</v>
      </c>
      <c r="F182" s="738">
        <f>'Order form'!D458</f>
        <v>9</v>
      </c>
      <c r="G182" s="738">
        <f>F182*C182</f>
        <v>36</v>
      </c>
      <c r="H182" s="734">
        <v>1.595</v>
      </c>
      <c r="I182" s="739">
        <f>C182*H182</f>
        <v>6.38</v>
      </c>
      <c r="J182" s="739" t="s">
        <v>22</v>
      </c>
      <c r="K182" s="739">
        <f>'Order form'!G459</f>
        <v>40</v>
      </c>
      <c r="L182" s="739">
        <f t="shared" si="20"/>
        <v>0.1</v>
      </c>
      <c r="M182" s="740">
        <f t="shared" ref="M182:M216" si="24">K182*H182</f>
        <v>63.8</v>
      </c>
      <c r="N182" s="381">
        <f t="shared" si="19"/>
        <v>17</v>
      </c>
      <c r="O182" s="1268">
        <f>SUM(G182:G198)</f>
        <v>82</v>
      </c>
    </row>
    <row r="183" spans="1:15" s="649" customFormat="1" ht="12.6" customHeight="1" x14ac:dyDescent="0.2">
      <c r="A183" s="735" t="s">
        <v>153</v>
      </c>
      <c r="B183" s="736" t="s">
        <v>420</v>
      </c>
      <c r="C183" s="737">
        <f>'Order form'!K458</f>
        <v>0</v>
      </c>
      <c r="D183" s="737" t="str">
        <f>'Order form'!I456</f>
        <v>W-3EF</v>
      </c>
      <c r="E183" s="737" t="s">
        <v>779</v>
      </c>
      <c r="F183" s="738">
        <f>'Order form'!I458</f>
        <v>9</v>
      </c>
      <c r="G183" s="738">
        <f t="shared" si="22"/>
        <v>0</v>
      </c>
      <c r="H183" s="734">
        <v>1.1659999999999999</v>
      </c>
      <c r="I183" s="739">
        <f t="shared" ref="I183:I216" si="25">C183*H183</f>
        <v>0</v>
      </c>
      <c r="J183" s="739" t="s">
        <v>22</v>
      </c>
      <c r="K183" s="739">
        <f>'Order form'!L459</f>
        <v>6</v>
      </c>
      <c r="L183" s="739">
        <f t="shared" ref="L183:L216" si="26">C183/K183</f>
        <v>0</v>
      </c>
      <c r="M183" s="740">
        <f t="shared" si="24"/>
        <v>6.9959999999999996</v>
      </c>
      <c r="N183" s="381">
        <f t="shared" si="19"/>
        <v>17</v>
      </c>
      <c r="O183" s="1269"/>
    </row>
    <row r="184" spans="1:15" s="649" customFormat="1" ht="12.6" customHeight="1" x14ac:dyDescent="0.2">
      <c r="A184" s="735" t="s">
        <v>153</v>
      </c>
      <c r="B184" s="736" t="s">
        <v>420</v>
      </c>
      <c r="C184" s="737">
        <f>'Order form'!U458</f>
        <v>0</v>
      </c>
      <c r="D184" s="737" t="str">
        <f>'Order form'!S456</f>
        <v>EW-3ESB</v>
      </c>
      <c r="E184" s="737" t="s">
        <v>773</v>
      </c>
      <c r="F184" s="738">
        <f>'Order form'!S458</f>
        <v>12</v>
      </c>
      <c r="G184" s="738">
        <f t="shared" si="22"/>
        <v>0</v>
      </c>
      <c r="H184" s="734">
        <v>1.1659999999999999</v>
      </c>
      <c r="I184" s="739">
        <f t="shared" si="25"/>
        <v>0</v>
      </c>
      <c r="J184" s="739" t="s">
        <v>22</v>
      </c>
      <c r="K184" s="739">
        <f>'Order form'!V459</f>
        <v>40</v>
      </c>
      <c r="L184" s="739">
        <f t="shared" si="26"/>
        <v>0</v>
      </c>
      <c r="M184" s="740">
        <f t="shared" si="24"/>
        <v>46.64</v>
      </c>
      <c r="N184" s="381">
        <f t="shared" si="19"/>
        <v>17</v>
      </c>
      <c r="O184" s="1269"/>
    </row>
    <row r="185" spans="1:15" s="649" customFormat="1" ht="12.6" customHeight="1" x14ac:dyDescent="0.2">
      <c r="A185" s="735" t="s">
        <v>153</v>
      </c>
      <c r="B185" s="736" t="s">
        <v>420</v>
      </c>
      <c r="C185" s="737">
        <f>'Order form'!F469</f>
        <v>2</v>
      </c>
      <c r="D185" s="737" t="str">
        <f>'Order form'!D467</f>
        <v>W-4ESB</v>
      </c>
      <c r="E185" s="737" t="s">
        <v>770</v>
      </c>
      <c r="F185" s="738">
        <f>'Order form'!D469</f>
        <v>10</v>
      </c>
      <c r="G185" s="738">
        <f t="shared" si="22"/>
        <v>20</v>
      </c>
      <c r="H185" s="734">
        <v>1.881</v>
      </c>
      <c r="I185" s="739">
        <f t="shared" si="25"/>
        <v>3.762</v>
      </c>
      <c r="J185" s="739" t="s">
        <v>22</v>
      </c>
      <c r="K185" s="739">
        <f>'Order form'!G470</f>
        <v>4</v>
      </c>
      <c r="L185" s="739">
        <f t="shared" si="26"/>
        <v>0.5</v>
      </c>
      <c r="M185" s="740">
        <f t="shared" si="24"/>
        <v>7.524</v>
      </c>
      <c r="N185" s="381">
        <f t="shared" si="19"/>
        <v>18</v>
      </c>
      <c r="O185" s="1269"/>
    </row>
    <row r="186" spans="1:15" s="649" customFormat="1" x14ac:dyDescent="0.2">
      <c r="A186" s="735" t="s">
        <v>153</v>
      </c>
      <c r="B186" s="736" t="s">
        <v>420</v>
      </c>
      <c r="C186" s="737">
        <f>'Order form'!K469</f>
        <v>2</v>
      </c>
      <c r="D186" s="737" t="str">
        <f>'Order form'!I467</f>
        <v>W-4EF</v>
      </c>
      <c r="E186" s="737" t="s">
        <v>780</v>
      </c>
      <c r="F186" s="738">
        <f>'Order form'!I469</f>
        <v>13</v>
      </c>
      <c r="G186" s="738">
        <f t="shared" si="22"/>
        <v>26</v>
      </c>
      <c r="H186" s="734">
        <v>1.496</v>
      </c>
      <c r="I186" s="739">
        <f t="shared" si="25"/>
        <v>2.992</v>
      </c>
      <c r="J186" s="739" t="s">
        <v>22</v>
      </c>
      <c r="K186" s="739">
        <f>'Order form'!L470</f>
        <v>32</v>
      </c>
      <c r="L186" s="739">
        <f t="shared" si="26"/>
        <v>6.25E-2</v>
      </c>
      <c r="M186" s="740">
        <f t="shared" si="24"/>
        <v>47.872</v>
      </c>
      <c r="N186" s="381">
        <f t="shared" si="19"/>
        <v>19</v>
      </c>
      <c r="O186" s="1269"/>
    </row>
    <row r="187" spans="1:15" s="649" customFormat="1" ht="12.6" customHeight="1" x14ac:dyDescent="0.2">
      <c r="A187" s="735" t="s">
        <v>153</v>
      </c>
      <c r="B187" s="736" t="s">
        <v>420</v>
      </c>
      <c r="C187" s="737">
        <f>'Order form'!U469</f>
        <v>0</v>
      </c>
      <c r="D187" s="737" t="str">
        <f>'Order form'!S467</f>
        <v>EW-4ESB</v>
      </c>
      <c r="E187" s="737" t="s">
        <v>772</v>
      </c>
      <c r="F187" s="738">
        <f>'Order form'!S469</f>
        <v>13</v>
      </c>
      <c r="G187" s="738">
        <f>F187*C187</f>
        <v>0</v>
      </c>
      <c r="H187" s="734">
        <v>1.76</v>
      </c>
      <c r="I187" s="739">
        <f>C187*H187</f>
        <v>0</v>
      </c>
      <c r="J187" s="739" t="s">
        <v>22</v>
      </c>
      <c r="K187" s="739">
        <f>'Order form'!V470</f>
        <v>32</v>
      </c>
      <c r="L187" s="739">
        <f t="shared" si="26"/>
        <v>0</v>
      </c>
      <c r="M187" s="740">
        <f t="shared" si="24"/>
        <v>56.32</v>
      </c>
      <c r="N187" s="381">
        <f t="shared" si="19"/>
        <v>19</v>
      </c>
      <c r="O187" s="1269"/>
    </row>
    <row r="188" spans="1:15" s="649" customFormat="1" ht="12.6" customHeight="1" x14ac:dyDescent="0.2">
      <c r="A188" s="735" t="s">
        <v>153</v>
      </c>
      <c r="B188" s="736" t="s">
        <v>420</v>
      </c>
      <c r="C188" s="737">
        <f>'Order form'!Z469</f>
        <v>0</v>
      </c>
      <c r="D188" s="737" t="str">
        <f>'Order form'!X467</f>
        <v>EW-4EF</v>
      </c>
      <c r="E188" s="737" t="s">
        <v>781</v>
      </c>
      <c r="F188" s="738">
        <f>'Order form'!X469</f>
        <v>13</v>
      </c>
      <c r="G188" s="738">
        <f>F188*C188</f>
        <v>0</v>
      </c>
      <c r="H188" s="734">
        <v>1.43</v>
      </c>
      <c r="I188" s="739">
        <f>C188*H188</f>
        <v>0</v>
      </c>
      <c r="J188" s="739" t="s">
        <v>22</v>
      </c>
      <c r="K188" s="739">
        <f>'Order form'!AA470</f>
        <v>4</v>
      </c>
      <c r="L188" s="739">
        <f t="shared" si="26"/>
        <v>0</v>
      </c>
      <c r="M188" s="740">
        <f t="shared" si="24"/>
        <v>5.72</v>
      </c>
      <c r="N188" s="381">
        <f t="shared" si="19"/>
        <v>19</v>
      </c>
      <c r="O188" s="1269"/>
    </row>
    <row r="189" spans="1:15" s="649" customFormat="1" ht="12.6" customHeight="1" x14ac:dyDescent="0.2">
      <c r="A189" s="735" t="s">
        <v>153</v>
      </c>
      <c r="B189" s="736" t="s">
        <v>420</v>
      </c>
      <c r="C189" s="737">
        <f>'Order form'!F480</f>
        <v>0</v>
      </c>
      <c r="D189" s="737" t="str">
        <f>'Order form'!D478:G478</f>
        <v>W-4PSB</v>
      </c>
      <c r="E189" s="737" t="s">
        <v>774</v>
      </c>
      <c r="F189" s="738">
        <f>'Order form'!D480</f>
        <v>10.75</v>
      </c>
      <c r="G189" s="738">
        <f t="shared" ref="G189:G198" si="27">F189*C189</f>
        <v>0</v>
      </c>
      <c r="H189" s="734">
        <v>1.881</v>
      </c>
      <c r="I189" s="739">
        <f t="shared" ref="I189:I198" si="28">C189*H189</f>
        <v>0</v>
      </c>
      <c r="J189" s="739" t="s">
        <v>22</v>
      </c>
      <c r="K189" s="739">
        <f>'Order form'!G481</f>
        <v>40</v>
      </c>
      <c r="L189" s="739">
        <f t="shared" si="26"/>
        <v>0</v>
      </c>
      <c r="M189" s="740">
        <f t="shared" si="24"/>
        <v>75.239999999999995</v>
      </c>
      <c r="N189" s="381">
        <f t="shared" si="19"/>
        <v>19</v>
      </c>
      <c r="O189" s="1269"/>
    </row>
    <row r="190" spans="1:15" s="649" customFormat="1" ht="12.6" customHeight="1" x14ac:dyDescent="0.2">
      <c r="A190" s="735" t="s">
        <v>153</v>
      </c>
      <c r="B190" s="736" t="s">
        <v>420</v>
      </c>
      <c r="C190" s="737">
        <f>'Order form'!K480</f>
        <v>0</v>
      </c>
      <c r="D190" s="737" t="str">
        <f>'Order form'!I478</f>
        <v>W-4PF</v>
      </c>
      <c r="E190" s="737" t="s">
        <v>775</v>
      </c>
      <c r="F190" s="738">
        <f>'Order form'!I480</f>
        <v>8</v>
      </c>
      <c r="G190" s="738">
        <f t="shared" si="27"/>
        <v>0</v>
      </c>
      <c r="H190" s="734">
        <v>1.804</v>
      </c>
      <c r="I190" s="739">
        <f t="shared" si="28"/>
        <v>0</v>
      </c>
      <c r="J190" s="739" t="s">
        <v>22</v>
      </c>
      <c r="K190" s="739">
        <f>'Order form'!L481</f>
        <v>40</v>
      </c>
      <c r="L190" s="739">
        <f t="shared" si="26"/>
        <v>0</v>
      </c>
      <c r="M190" s="740">
        <f t="shared" si="24"/>
        <v>72.16</v>
      </c>
      <c r="N190" s="381">
        <f t="shared" si="19"/>
        <v>19</v>
      </c>
      <c r="O190" s="1269"/>
    </row>
    <row r="191" spans="1:15" s="649" customFormat="1" ht="12.6" customHeight="1" x14ac:dyDescent="0.2">
      <c r="A191" s="735" t="s">
        <v>153</v>
      </c>
      <c r="B191" s="736" t="s">
        <v>420</v>
      </c>
      <c r="C191" s="737">
        <f>'Order form'!P480</f>
        <v>0</v>
      </c>
      <c r="D191" s="737" t="str">
        <f>'Order form'!N478</f>
        <v>BC4</v>
      </c>
      <c r="E191" s="737" t="s">
        <v>879</v>
      </c>
      <c r="F191" s="738">
        <f>'Order form'!N480</f>
        <v>27</v>
      </c>
      <c r="G191" s="738">
        <f t="shared" si="27"/>
        <v>0</v>
      </c>
      <c r="H191" s="734">
        <v>3.3879999999999999</v>
      </c>
      <c r="I191" s="739">
        <f t="shared" ref="I191" si="29">C191*H191</f>
        <v>0</v>
      </c>
      <c r="J191" s="739" t="s">
        <v>22</v>
      </c>
      <c r="K191" s="739">
        <f>'Order form'!Q481</f>
        <v>10</v>
      </c>
      <c r="L191" s="739">
        <f t="shared" si="26"/>
        <v>0</v>
      </c>
      <c r="M191" s="740">
        <f t="shared" si="24"/>
        <v>33.879999999999995</v>
      </c>
      <c r="N191" s="381">
        <f t="shared" si="19"/>
        <v>19</v>
      </c>
      <c r="O191" s="1269"/>
    </row>
    <row r="192" spans="1:15" s="649" customFormat="1" ht="12.6" customHeight="1" x14ac:dyDescent="0.2">
      <c r="A192" s="735" t="s">
        <v>153</v>
      </c>
      <c r="B192" s="762" t="s">
        <v>420</v>
      </c>
      <c r="C192" s="737">
        <f>'Order form'!U480</f>
        <v>0</v>
      </c>
      <c r="D192" s="737" t="str">
        <f>'Order form'!S478</f>
        <v>W-4PSB-KIT</v>
      </c>
      <c r="E192" s="737" t="s">
        <v>896</v>
      </c>
      <c r="F192" s="738">
        <f>'Order form'!S480</f>
        <v>14.79</v>
      </c>
      <c r="G192" s="738">
        <f t="shared" si="27"/>
        <v>0</v>
      </c>
      <c r="H192" s="741">
        <v>2.7742</v>
      </c>
      <c r="I192" s="739">
        <f t="shared" ref="I192:I196" si="30">C192*H192</f>
        <v>0</v>
      </c>
      <c r="J192" s="739" t="s">
        <v>22</v>
      </c>
      <c r="K192" s="739">
        <f>'Order form'!V481</f>
        <v>2</v>
      </c>
      <c r="L192" s="739">
        <f t="shared" si="26"/>
        <v>0</v>
      </c>
      <c r="M192" s="740">
        <f t="shared" si="24"/>
        <v>5.5484</v>
      </c>
      <c r="N192" s="381">
        <f t="shared" si="19"/>
        <v>19</v>
      </c>
      <c r="O192" s="1269"/>
    </row>
    <row r="193" spans="1:15" s="649" customFormat="1" ht="12.6" customHeight="1" x14ac:dyDescent="0.2">
      <c r="A193" s="735" t="s">
        <v>153</v>
      </c>
      <c r="B193" s="762" t="s">
        <v>420</v>
      </c>
      <c r="C193" s="737">
        <f>'Order form'!Z480</f>
        <v>0</v>
      </c>
      <c r="D193" s="737" t="str">
        <f>'Order form'!X478</f>
        <v>W-4PF-KIT</v>
      </c>
      <c r="E193" s="737" t="s">
        <v>897</v>
      </c>
      <c r="F193" s="738">
        <f>'Order form'!X480</f>
        <v>12.04</v>
      </c>
      <c r="G193" s="738">
        <f t="shared" si="27"/>
        <v>0</v>
      </c>
      <c r="H193" s="741">
        <v>1.08</v>
      </c>
      <c r="I193" s="739">
        <f t="shared" si="30"/>
        <v>0</v>
      </c>
      <c r="J193" s="739" t="s">
        <v>22</v>
      </c>
      <c r="K193" s="739">
        <f>'Order form'!AA481</f>
        <v>2</v>
      </c>
      <c r="L193" s="739">
        <f t="shared" si="26"/>
        <v>0</v>
      </c>
      <c r="M193" s="740">
        <f t="shared" si="24"/>
        <v>2.16</v>
      </c>
      <c r="N193" s="381">
        <f t="shared" si="19"/>
        <v>19</v>
      </c>
      <c r="O193" s="1269"/>
    </row>
    <row r="194" spans="1:15" s="649" customFormat="1" ht="12.6" customHeight="1" x14ac:dyDescent="0.2">
      <c r="A194" s="735" t="s">
        <v>153</v>
      </c>
      <c r="B194" s="736" t="s">
        <v>420</v>
      </c>
      <c r="C194" s="737">
        <f>'Order form'!F491</f>
        <v>0</v>
      </c>
      <c r="D194" s="737" t="str">
        <f>'Order form'!D489</f>
        <v>W-6PSB</v>
      </c>
      <c r="E194" s="737" t="s">
        <v>776</v>
      </c>
      <c r="F194" s="738">
        <f>'Order form'!D491</f>
        <v>22</v>
      </c>
      <c r="G194" s="738">
        <f t="shared" si="27"/>
        <v>0</v>
      </c>
      <c r="H194" s="734">
        <v>2.34</v>
      </c>
      <c r="I194" s="739">
        <f t="shared" si="30"/>
        <v>0</v>
      </c>
      <c r="J194" s="739" t="s">
        <v>22</v>
      </c>
      <c r="K194" s="739">
        <f>'Order form'!G492</f>
        <v>12</v>
      </c>
      <c r="L194" s="739">
        <f t="shared" si="26"/>
        <v>0</v>
      </c>
      <c r="M194" s="740">
        <f t="shared" si="24"/>
        <v>28.08</v>
      </c>
      <c r="N194" s="381">
        <f t="shared" si="19"/>
        <v>19</v>
      </c>
      <c r="O194" s="1269"/>
    </row>
    <row r="195" spans="1:15" s="649" customFormat="1" ht="12.6" customHeight="1" x14ac:dyDescent="0.2">
      <c r="A195" s="735" t="s">
        <v>153</v>
      </c>
      <c r="B195" s="736" t="s">
        <v>420</v>
      </c>
      <c r="C195" s="737">
        <f>'Order form'!K491</f>
        <v>0</v>
      </c>
      <c r="D195" s="737" t="str">
        <f>'Order form'!I489</f>
        <v>W-6PF</v>
      </c>
      <c r="E195" s="737" t="s">
        <v>777</v>
      </c>
      <c r="F195" s="738">
        <f>'Order form'!I491</f>
        <v>17</v>
      </c>
      <c r="G195" s="738">
        <f t="shared" si="27"/>
        <v>0</v>
      </c>
      <c r="H195" s="734">
        <v>1.595</v>
      </c>
      <c r="I195" s="739">
        <f t="shared" si="30"/>
        <v>0</v>
      </c>
      <c r="J195" s="739" t="s">
        <v>22</v>
      </c>
      <c r="K195" s="739">
        <f>'Order form'!L492</f>
        <v>12</v>
      </c>
      <c r="L195" s="739">
        <f t="shared" si="26"/>
        <v>0</v>
      </c>
      <c r="M195" s="740">
        <f t="shared" si="24"/>
        <v>19.14</v>
      </c>
      <c r="N195" s="381">
        <f t="shared" si="19"/>
        <v>19</v>
      </c>
      <c r="O195" s="1269"/>
    </row>
    <row r="196" spans="1:15" s="649" customFormat="1" ht="12.6" customHeight="1" x14ac:dyDescent="0.2">
      <c r="A196" s="735" t="s">
        <v>153</v>
      </c>
      <c r="B196" s="736" t="s">
        <v>420</v>
      </c>
      <c r="C196" s="737">
        <f>'Order form'!P491</f>
        <v>0</v>
      </c>
      <c r="D196" s="737" t="str">
        <f>'Order form'!N489</f>
        <v>BC6</v>
      </c>
      <c r="E196" s="737" t="s">
        <v>880</v>
      </c>
      <c r="F196" s="738">
        <f>'Order form'!N491</f>
        <v>31</v>
      </c>
      <c r="G196" s="738">
        <f t="shared" si="27"/>
        <v>0</v>
      </c>
      <c r="H196" s="734">
        <v>3.6739999999999999</v>
      </c>
      <c r="I196" s="739">
        <f t="shared" si="30"/>
        <v>0</v>
      </c>
      <c r="J196" s="739" t="s">
        <v>22</v>
      </c>
      <c r="K196" s="739">
        <f>'Order form'!Q492</f>
        <v>10</v>
      </c>
      <c r="L196" s="739">
        <f t="shared" si="26"/>
        <v>0</v>
      </c>
      <c r="M196" s="740">
        <f t="shared" si="24"/>
        <v>36.74</v>
      </c>
      <c r="N196" s="381">
        <f t="shared" si="19"/>
        <v>19</v>
      </c>
      <c r="O196" s="1269"/>
    </row>
    <row r="197" spans="1:15" s="649" customFormat="1" ht="12.6" customHeight="1" x14ac:dyDescent="0.2">
      <c r="A197" s="735" t="s">
        <v>153</v>
      </c>
      <c r="B197" s="736" t="s">
        <v>420</v>
      </c>
      <c r="C197" s="737">
        <f>'Order form'!U491</f>
        <v>0</v>
      </c>
      <c r="D197" s="737" t="str">
        <f>'Order form'!S489</f>
        <v>W-6PSB-KIT</v>
      </c>
      <c r="E197" s="737" t="s">
        <v>776</v>
      </c>
      <c r="F197" s="738">
        <f>'Order form'!S491</f>
        <v>26.84</v>
      </c>
      <c r="G197" s="738">
        <f t="shared" si="27"/>
        <v>0</v>
      </c>
      <c r="H197" s="741">
        <v>7.0751999999999997</v>
      </c>
      <c r="I197" s="739">
        <f t="shared" si="28"/>
        <v>0</v>
      </c>
      <c r="J197" s="739" t="s">
        <v>22</v>
      </c>
      <c r="K197" s="739">
        <f>'Order form'!V492</f>
        <v>2</v>
      </c>
      <c r="L197" s="739">
        <f t="shared" si="26"/>
        <v>0</v>
      </c>
      <c r="M197" s="740">
        <f t="shared" si="24"/>
        <v>14.150399999999999</v>
      </c>
      <c r="N197" s="381">
        <f t="shared" si="19"/>
        <v>19</v>
      </c>
      <c r="O197" s="1269"/>
    </row>
    <row r="198" spans="1:15" s="649" customFormat="1" ht="12.6" customHeight="1" x14ac:dyDescent="0.2">
      <c r="A198" s="735" t="s">
        <v>153</v>
      </c>
      <c r="B198" s="736" t="s">
        <v>420</v>
      </c>
      <c r="C198" s="737">
        <f>'Order form'!Z491</f>
        <v>0</v>
      </c>
      <c r="D198" s="737" t="str">
        <f>'Order form'!X489</f>
        <v>W-6PF-KIT</v>
      </c>
      <c r="E198" s="737" t="s">
        <v>777</v>
      </c>
      <c r="F198" s="738">
        <f>'Order form'!X491</f>
        <v>21.84</v>
      </c>
      <c r="G198" s="738">
        <f t="shared" si="27"/>
        <v>0</v>
      </c>
      <c r="H198" s="741">
        <v>2.7302</v>
      </c>
      <c r="I198" s="739">
        <f t="shared" si="28"/>
        <v>0</v>
      </c>
      <c r="J198" s="739" t="s">
        <v>22</v>
      </c>
      <c r="K198" s="739">
        <f>'Order form'!AA492</f>
        <v>2</v>
      </c>
      <c r="L198" s="739">
        <f t="shared" si="26"/>
        <v>0</v>
      </c>
      <c r="M198" s="740">
        <f t="shared" si="24"/>
        <v>5.4603999999999999</v>
      </c>
      <c r="N198" s="381">
        <f t="shared" si="19"/>
        <v>19</v>
      </c>
      <c r="O198" s="1270"/>
    </row>
    <row r="199" spans="1:15" s="386" customFormat="1" ht="12.6" customHeight="1" x14ac:dyDescent="0.2">
      <c r="A199" s="379" t="s">
        <v>155</v>
      </c>
      <c r="B199" s="380" t="s">
        <v>163</v>
      </c>
      <c r="C199" s="381">
        <f>'Order form'!F504</f>
        <v>0</v>
      </c>
      <c r="D199" s="381" t="str">
        <f>'Order form'!D502</f>
        <v>KIT-Q5</v>
      </c>
      <c r="E199" s="381" t="s">
        <v>784</v>
      </c>
      <c r="F199" s="382" t="str">
        <f>'Order form'!D504</f>
        <v>See website</v>
      </c>
      <c r="G199" s="382" t="e">
        <f t="shared" si="22"/>
        <v>#VALUE!</v>
      </c>
      <c r="H199" s="659">
        <v>500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500</v>
      </c>
      <c r="N199" s="381">
        <f t="shared" si="19"/>
        <v>19</v>
      </c>
      <c r="O199" s="727"/>
    </row>
    <row r="200" spans="1:15" s="386" customFormat="1" x14ac:dyDescent="0.2">
      <c r="A200" s="379" t="s">
        <v>155</v>
      </c>
      <c r="B200" s="380" t="s">
        <v>163</v>
      </c>
      <c r="C200" s="381">
        <f>'Order form'!K504</f>
        <v>0</v>
      </c>
      <c r="D200" s="381" t="str">
        <f>'Order form'!I502</f>
        <v>KIT-FLOW</v>
      </c>
      <c r="E200" s="381" t="s">
        <v>778</v>
      </c>
      <c r="F200" s="382" t="str">
        <f>'Order form'!I504</f>
        <v>See website</v>
      </c>
      <c r="G200" s="382" t="e">
        <f t="shared" si="22"/>
        <v>#VALUE!</v>
      </c>
      <c r="H200" s="659">
        <v>500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500</v>
      </c>
      <c r="N200" s="381">
        <f t="shared" si="19"/>
        <v>19</v>
      </c>
      <c r="O200" s="728"/>
    </row>
    <row r="201" spans="1:15" s="386" customFormat="1" x14ac:dyDescent="0.2">
      <c r="A201" s="379" t="s">
        <v>155</v>
      </c>
      <c r="B201" s="380" t="s">
        <v>163</v>
      </c>
      <c r="C201" s="381">
        <f>'Order form'!P504</f>
        <v>0</v>
      </c>
      <c r="D201" s="381" t="str">
        <f>'Order form'!N502</f>
        <v>KIT-CART</v>
      </c>
      <c r="E201" s="381" t="s">
        <v>783</v>
      </c>
      <c r="F201" s="382" t="str">
        <f>'Order form'!N504</f>
        <v>See website</v>
      </c>
      <c r="G201" s="382" t="e">
        <f t="shared" si="22"/>
        <v>#VALUE!</v>
      </c>
      <c r="H201" s="659">
        <v>500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500</v>
      </c>
      <c r="N201" s="381">
        <f t="shared" si="19"/>
        <v>19</v>
      </c>
      <c r="O201" s="728"/>
    </row>
    <row r="202" spans="1:15" s="386" customFormat="1" x14ac:dyDescent="0.2">
      <c r="A202" s="379" t="s">
        <v>155</v>
      </c>
      <c r="B202" s="380" t="s">
        <v>163</v>
      </c>
      <c r="C202" s="381">
        <f>'Order form'!U504</f>
        <v>0</v>
      </c>
      <c r="D202" s="381" t="str">
        <f>'Order form'!S502</f>
        <v>KIT-STATION</v>
      </c>
      <c r="E202" s="381" t="s">
        <v>782</v>
      </c>
      <c r="F202" s="382" t="str">
        <f>'Order form'!S504</f>
        <v>See website</v>
      </c>
      <c r="G202" s="382" t="e">
        <f t="shared" si="22"/>
        <v>#VALUE!</v>
      </c>
      <c r="H202" s="659">
        <v>550</v>
      </c>
      <c r="I202" s="384">
        <f t="shared" si="25"/>
        <v>0</v>
      </c>
      <c r="J202" s="384" t="s">
        <v>376</v>
      </c>
      <c r="K202" s="384">
        <v>1</v>
      </c>
      <c r="L202" s="384">
        <f t="shared" si="26"/>
        <v>0</v>
      </c>
      <c r="M202" s="385">
        <f t="shared" si="24"/>
        <v>550</v>
      </c>
      <c r="N202" s="381">
        <f t="shared" si="19"/>
        <v>19</v>
      </c>
      <c r="O202" s="728"/>
    </row>
    <row r="203" spans="1:15" s="386" customFormat="1" x14ac:dyDescent="0.2">
      <c r="A203" s="379" t="s">
        <v>155</v>
      </c>
      <c r="B203" s="380" t="s">
        <v>163</v>
      </c>
      <c r="C203" s="381">
        <f>'Order form'!Z504</f>
        <v>0</v>
      </c>
      <c r="D203" s="381" t="str">
        <f>'Order form'!X502</f>
        <v>KIT-SM</v>
      </c>
      <c r="E203" s="381" t="s">
        <v>785</v>
      </c>
      <c r="F203" s="382" t="str">
        <f>'Order form'!X504</f>
        <v>See website</v>
      </c>
      <c r="G203" s="382" t="e">
        <f t="shared" si="22"/>
        <v>#VALUE!</v>
      </c>
      <c r="H203" s="659">
        <v>200</v>
      </c>
      <c r="I203" s="384">
        <f t="shared" si="25"/>
        <v>0</v>
      </c>
      <c r="J203" s="384" t="s">
        <v>376</v>
      </c>
      <c r="K203" s="384">
        <v>1</v>
      </c>
      <c r="L203" s="384">
        <f t="shared" si="26"/>
        <v>0</v>
      </c>
      <c r="M203" s="385">
        <f t="shared" si="24"/>
        <v>200</v>
      </c>
      <c r="N203" s="381">
        <f t="shared" si="19"/>
        <v>19</v>
      </c>
      <c r="O203" s="728"/>
    </row>
    <row r="204" spans="1:15" s="386" customFormat="1" x14ac:dyDescent="0.2">
      <c r="A204" s="379" t="s">
        <v>155</v>
      </c>
      <c r="B204" s="380" t="s">
        <v>163</v>
      </c>
      <c r="C204" s="381">
        <f>'Order form'!F514</f>
        <v>0</v>
      </c>
      <c r="D204" s="381" t="str">
        <f>'Order form'!D512</f>
        <v>KIT-CRIB</v>
      </c>
      <c r="E204" s="381" t="s">
        <v>786</v>
      </c>
      <c r="F204" s="382">
        <f>'Order form'!D514</f>
        <v>1950</v>
      </c>
      <c r="G204" s="382">
        <f t="shared" si="22"/>
        <v>0</v>
      </c>
      <c r="H204" s="659">
        <v>600</v>
      </c>
      <c r="I204" s="384">
        <f t="shared" si="25"/>
        <v>0</v>
      </c>
      <c r="J204" s="384" t="s">
        <v>376</v>
      </c>
      <c r="K204" s="384">
        <v>1</v>
      </c>
      <c r="L204" s="384">
        <f t="shared" si="26"/>
        <v>0</v>
      </c>
      <c r="M204" s="385">
        <f t="shared" si="24"/>
        <v>600</v>
      </c>
      <c r="N204" s="381">
        <f t="shared" si="19"/>
        <v>19</v>
      </c>
      <c r="O204" s="728"/>
    </row>
    <row r="205" spans="1:15" s="386" customFormat="1" x14ac:dyDescent="0.2">
      <c r="A205" s="379" t="s">
        <v>155</v>
      </c>
      <c r="B205" s="380" t="s">
        <v>562</v>
      </c>
      <c r="C205" s="381">
        <f>'Order form'!K514</f>
        <v>0</v>
      </c>
      <c r="D205" s="381" t="str">
        <f>'Order form'!I512</f>
        <v>F-CTRAINING</v>
      </c>
      <c r="E205" s="381" t="s">
        <v>787</v>
      </c>
      <c r="F205" s="382">
        <f>'Order form'!I514</f>
        <v>3500</v>
      </c>
      <c r="G205" s="382">
        <f t="shared" si="22"/>
        <v>0</v>
      </c>
      <c r="H205" s="383">
        <v>0</v>
      </c>
      <c r="I205" s="384">
        <f t="shared" si="25"/>
        <v>0</v>
      </c>
      <c r="J205" s="384" t="s">
        <v>22</v>
      </c>
      <c r="K205" s="384">
        <v>1</v>
      </c>
      <c r="L205" s="384">
        <f t="shared" si="26"/>
        <v>0</v>
      </c>
      <c r="M205" s="385">
        <f t="shared" si="24"/>
        <v>0</v>
      </c>
      <c r="N205" s="381">
        <f t="shared" si="19"/>
        <v>19</v>
      </c>
      <c r="O205" s="728"/>
    </row>
    <row r="206" spans="1:15" s="386" customFormat="1" x14ac:dyDescent="0.2">
      <c r="A206" s="379" t="s">
        <v>155</v>
      </c>
      <c r="B206" s="380" t="s">
        <v>562</v>
      </c>
      <c r="C206" s="381">
        <f>'Order form'!P514</f>
        <v>0</v>
      </c>
      <c r="D206" s="381" t="str">
        <f>'Order form'!N512</f>
        <v>F-HTRAINING</v>
      </c>
      <c r="E206" s="381" t="s">
        <v>788</v>
      </c>
      <c r="F206" s="382">
        <v>0</v>
      </c>
      <c r="G206" s="382">
        <f t="shared" si="22"/>
        <v>0</v>
      </c>
      <c r="H206" s="383">
        <v>0</v>
      </c>
      <c r="I206" s="384">
        <f t="shared" si="25"/>
        <v>0</v>
      </c>
      <c r="J206" s="384" t="s">
        <v>22</v>
      </c>
      <c r="K206" s="384">
        <v>1</v>
      </c>
      <c r="L206" s="384">
        <f t="shared" si="26"/>
        <v>0</v>
      </c>
      <c r="M206" s="385">
        <f t="shared" si="24"/>
        <v>0</v>
      </c>
      <c r="N206" s="381">
        <f t="shared" si="19"/>
        <v>19</v>
      </c>
      <c r="O206" s="728"/>
    </row>
    <row r="207" spans="1:15" s="386" customFormat="1" x14ac:dyDescent="0.2">
      <c r="A207" s="379" t="s">
        <v>155</v>
      </c>
      <c r="B207" s="380" t="s">
        <v>163</v>
      </c>
      <c r="C207" s="381">
        <f>'Order form'!U514</f>
        <v>0</v>
      </c>
      <c r="D207" s="381" t="str">
        <f>'Order form'!S512</f>
        <v>KIT-TRAINING</v>
      </c>
      <c r="E207" s="381" t="str">
        <f>'Order form'!S513</f>
        <v>Training at Flexpipe and a lean starter kit</v>
      </c>
      <c r="F207" s="382" t="str">
        <f>'Order form'!S514</f>
        <v>See website</v>
      </c>
      <c r="G207" s="382" t="e">
        <f t="shared" si="22"/>
        <v>#VALUE!</v>
      </c>
      <c r="H207" s="383">
        <v>0</v>
      </c>
      <c r="I207" s="384">
        <f t="shared" si="25"/>
        <v>0</v>
      </c>
      <c r="J207" s="384" t="s">
        <v>22</v>
      </c>
      <c r="K207" s="384">
        <v>1</v>
      </c>
      <c r="L207" s="384">
        <f t="shared" si="26"/>
        <v>0</v>
      </c>
      <c r="M207" s="385">
        <f t="shared" si="24"/>
        <v>0</v>
      </c>
      <c r="N207" s="381">
        <f t="shared" si="19"/>
        <v>19</v>
      </c>
      <c r="O207" s="728"/>
    </row>
    <row r="208" spans="1:15" s="386" customFormat="1" x14ac:dyDescent="0.2">
      <c r="A208" s="379" t="s">
        <v>153</v>
      </c>
      <c r="B208" s="380" t="s">
        <v>563</v>
      </c>
      <c r="C208" s="381">
        <f>'Order form'!F524</f>
        <v>0</v>
      </c>
      <c r="D208" s="381" t="str">
        <f>'Order form'!D522</f>
        <v>T-REAMER</v>
      </c>
      <c r="E208" s="381" t="s">
        <v>110</v>
      </c>
      <c r="F208" s="382">
        <f>'Order form'!D524</f>
        <v>40</v>
      </c>
      <c r="G208" s="382">
        <f t="shared" si="22"/>
        <v>0</v>
      </c>
      <c r="H208" s="383">
        <v>0.495</v>
      </c>
      <c r="I208" s="384">
        <f t="shared" si="25"/>
        <v>0</v>
      </c>
      <c r="J208" s="384" t="s">
        <v>22</v>
      </c>
      <c r="K208" s="384">
        <v>10</v>
      </c>
      <c r="L208" s="384">
        <f t="shared" si="26"/>
        <v>0</v>
      </c>
      <c r="M208" s="385">
        <f t="shared" si="24"/>
        <v>4.95</v>
      </c>
      <c r="N208" s="381">
        <f t="shared" ref="N208:N221" si="31">IF(C208=0,N207,N207+1)</f>
        <v>19</v>
      </c>
      <c r="O208" s="728"/>
    </row>
    <row r="209" spans="1:16" s="386" customFormat="1" x14ac:dyDescent="0.2">
      <c r="A209" s="379" t="s">
        <v>153</v>
      </c>
      <c r="B209" s="380" t="s">
        <v>564</v>
      </c>
      <c r="C209" s="381">
        <f>'Order form'!K524</f>
        <v>0</v>
      </c>
      <c r="D209" s="381" t="str">
        <f>'Order form'!I522</f>
        <v>T-DEBURR</v>
      </c>
      <c r="E209" s="381" t="s">
        <v>789</v>
      </c>
      <c r="F209" s="382">
        <f>'Order form'!I524</f>
        <v>20</v>
      </c>
      <c r="G209" s="382">
        <f t="shared" si="22"/>
        <v>0</v>
      </c>
      <c r="H209" s="383">
        <v>9.9000000000000005E-2</v>
      </c>
      <c r="I209" s="384">
        <f t="shared" si="25"/>
        <v>0</v>
      </c>
      <c r="J209" s="384" t="s">
        <v>22</v>
      </c>
      <c r="K209" s="384">
        <v>20</v>
      </c>
      <c r="L209" s="384">
        <f t="shared" si="26"/>
        <v>0</v>
      </c>
      <c r="M209" s="385">
        <f t="shared" si="24"/>
        <v>1.98</v>
      </c>
      <c r="N209" s="381">
        <f t="shared" si="31"/>
        <v>19</v>
      </c>
      <c r="O209" s="728"/>
    </row>
    <row r="210" spans="1:16" s="386" customFormat="1" x14ac:dyDescent="0.2">
      <c r="A210" s="379" t="s">
        <v>153</v>
      </c>
      <c r="B210" s="380" t="s">
        <v>564</v>
      </c>
      <c r="C210" s="381">
        <f>'Order form'!P524</f>
        <v>0</v>
      </c>
      <c r="D210" s="381" t="str">
        <f>'Order form'!N522</f>
        <v>T-BDEB</v>
      </c>
      <c r="E210" s="381" t="s">
        <v>470</v>
      </c>
      <c r="F210" s="382">
        <f>'Order form'!N524</f>
        <v>20</v>
      </c>
      <c r="G210" s="382">
        <f t="shared" si="22"/>
        <v>0</v>
      </c>
      <c r="H210" s="383">
        <v>4.3999999999999997E-2</v>
      </c>
      <c r="I210" s="384">
        <f t="shared" si="25"/>
        <v>0</v>
      </c>
      <c r="J210" s="384" t="s">
        <v>22</v>
      </c>
      <c r="K210" s="384">
        <v>80</v>
      </c>
      <c r="L210" s="384">
        <f t="shared" si="26"/>
        <v>0</v>
      </c>
      <c r="M210" s="385">
        <f t="shared" si="24"/>
        <v>3.5199999999999996</v>
      </c>
      <c r="N210" s="381">
        <f t="shared" si="31"/>
        <v>19</v>
      </c>
      <c r="O210" s="392"/>
    </row>
    <row r="211" spans="1:16" s="386" customFormat="1" x14ac:dyDescent="0.2">
      <c r="A211" s="379" t="s">
        <v>153</v>
      </c>
      <c r="B211" s="652" t="s">
        <v>565</v>
      </c>
      <c r="C211" s="381">
        <f>'Order form'!U524</f>
        <v>0</v>
      </c>
      <c r="D211" s="381" t="str">
        <f>'Order form'!S522</f>
        <v>T-SAW</v>
      </c>
      <c r="E211" s="381" t="s">
        <v>790</v>
      </c>
      <c r="F211" s="382">
        <f>'Order form'!S524</f>
        <v>325</v>
      </c>
      <c r="G211" s="382">
        <f t="shared" si="22"/>
        <v>0</v>
      </c>
      <c r="H211" s="383">
        <v>12.5</v>
      </c>
      <c r="I211" s="384">
        <f t="shared" si="25"/>
        <v>0</v>
      </c>
      <c r="J211" s="384" t="s">
        <v>22</v>
      </c>
      <c r="K211" s="384">
        <v>1</v>
      </c>
      <c r="L211" s="384">
        <f t="shared" si="26"/>
        <v>0</v>
      </c>
      <c r="M211" s="385">
        <f t="shared" si="24"/>
        <v>12.5</v>
      </c>
      <c r="N211" s="381">
        <f t="shared" si="31"/>
        <v>19</v>
      </c>
      <c r="O211" s="392"/>
    </row>
    <row r="212" spans="1:16" s="386" customFormat="1" x14ac:dyDescent="0.2">
      <c r="A212" s="379" t="s">
        <v>153</v>
      </c>
      <c r="B212" s="380" t="s">
        <v>566</v>
      </c>
      <c r="C212" s="381">
        <f>'Order form'!Z524</f>
        <v>0</v>
      </c>
      <c r="D212" s="381" t="str">
        <f>'Order form'!X522</f>
        <v>T-BSAW</v>
      </c>
      <c r="E212" s="381" t="s">
        <v>791</v>
      </c>
      <c r="F212" s="382">
        <f>'Order form'!X524</f>
        <v>40</v>
      </c>
      <c r="G212" s="382">
        <f t="shared" si="22"/>
        <v>0</v>
      </c>
      <c r="H212" s="383">
        <v>0.35</v>
      </c>
      <c r="I212" s="384">
        <f t="shared" si="25"/>
        <v>0</v>
      </c>
      <c r="J212" s="384" t="s">
        <v>22</v>
      </c>
      <c r="K212" s="384">
        <v>1</v>
      </c>
      <c r="L212" s="384">
        <f t="shared" si="26"/>
        <v>0</v>
      </c>
      <c r="M212" s="385">
        <f t="shared" si="24"/>
        <v>0.35</v>
      </c>
      <c r="N212" s="381">
        <f t="shared" si="31"/>
        <v>19</v>
      </c>
      <c r="O212" s="392"/>
    </row>
    <row r="213" spans="1:16" s="386" customFormat="1" x14ac:dyDescent="0.2">
      <c r="A213" s="379" t="s">
        <v>153</v>
      </c>
      <c r="B213" s="380" t="s">
        <v>567</v>
      </c>
      <c r="C213" s="381">
        <f>'Order form'!F534</f>
        <v>0</v>
      </c>
      <c r="D213" s="381" t="str">
        <f>'Order form'!D532</f>
        <v>T-CUTTER</v>
      </c>
      <c r="E213" s="381" t="s">
        <v>792</v>
      </c>
      <c r="F213" s="382">
        <f>'Order form'!D534</f>
        <v>38</v>
      </c>
      <c r="G213" s="382">
        <f t="shared" si="22"/>
        <v>0</v>
      </c>
      <c r="H213" s="383">
        <v>0.95920000000000005</v>
      </c>
      <c r="I213" s="384">
        <f t="shared" si="25"/>
        <v>0</v>
      </c>
      <c r="J213" s="384" t="s">
        <v>22</v>
      </c>
      <c r="K213" s="384">
        <v>10</v>
      </c>
      <c r="L213" s="384">
        <f t="shared" si="26"/>
        <v>0</v>
      </c>
      <c r="M213" s="385">
        <f t="shared" si="24"/>
        <v>9.5920000000000005</v>
      </c>
      <c r="N213" s="381">
        <f t="shared" si="31"/>
        <v>19</v>
      </c>
      <c r="O213" s="392"/>
    </row>
    <row r="214" spans="1:16" s="386" customFormat="1" x14ac:dyDescent="0.2">
      <c r="A214" s="379" t="s">
        <v>153</v>
      </c>
      <c r="B214" s="380" t="s">
        <v>567</v>
      </c>
      <c r="C214" s="381">
        <f>'Order form'!K534</f>
        <v>0</v>
      </c>
      <c r="D214" s="381" t="str">
        <f>'Order form'!I532</f>
        <v>T-BCUT</v>
      </c>
      <c r="E214" s="381" t="s">
        <v>621</v>
      </c>
      <c r="F214" s="382">
        <f>'Order form'!I534</f>
        <v>10</v>
      </c>
      <c r="G214" s="382">
        <f t="shared" si="22"/>
        <v>0</v>
      </c>
      <c r="H214" s="383">
        <v>3.3000000000000002E-2</v>
      </c>
      <c r="I214" s="384">
        <f t="shared" si="25"/>
        <v>0</v>
      </c>
      <c r="J214" s="384" t="s">
        <v>22</v>
      </c>
      <c r="K214" s="384">
        <v>80</v>
      </c>
      <c r="L214" s="384">
        <f t="shared" si="26"/>
        <v>0</v>
      </c>
      <c r="M214" s="385">
        <f t="shared" si="24"/>
        <v>2.64</v>
      </c>
      <c r="N214" s="381">
        <f t="shared" si="31"/>
        <v>19</v>
      </c>
      <c r="O214" s="392"/>
    </row>
    <row r="215" spans="1:16" s="386" customFormat="1" x14ac:dyDescent="0.2">
      <c r="A215" s="379" t="s">
        <v>153</v>
      </c>
      <c r="B215" s="380" t="s">
        <v>158</v>
      </c>
      <c r="C215" s="381">
        <f>'Order form'!P534</f>
        <v>0</v>
      </c>
      <c r="D215" s="381" t="str">
        <f>'Order form'!N532</f>
        <v>T-HANDLE</v>
      </c>
      <c r="E215" s="381" t="s">
        <v>617</v>
      </c>
      <c r="F215" s="382">
        <f>'Order form'!N534</f>
        <v>9</v>
      </c>
      <c r="G215" s="382">
        <f t="shared" si="22"/>
        <v>0</v>
      </c>
      <c r="H215" s="383">
        <v>0.121</v>
      </c>
      <c r="I215" s="384">
        <f t="shared" si="25"/>
        <v>0</v>
      </c>
      <c r="J215" s="384" t="s">
        <v>22</v>
      </c>
      <c r="K215" s="384">
        <v>20</v>
      </c>
      <c r="L215" s="384">
        <f t="shared" si="26"/>
        <v>0</v>
      </c>
      <c r="M215" s="385">
        <f t="shared" si="24"/>
        <v>2.42</v>
      </c>
      <c r="N215" s="381">
        <f t="shared" si="31"/>
        <v>19</v>
      </c>
      <c r="O215" s="393"/>
    </row>
    <row r="216" spans="1:16" s="386" customFormat="1" x14ac:dyDescent="0.2">
      <c r="A216" s="379" t="s">
        <v>153</v>
      </c>
      <c r="B216" s="380" t="s">
        <v>158</v>
      </c>
      <c r="C216" s="381">
        <f>'Order form'!U534</f>
        <v>0</v>
      </c>
      <c r="D216" s="381" t="str">
        <f>'Order form'!S532</f>
        <v>T-BIT</v>
      </c>
      <c r="E216" s="381" t="s">
        <v>793</v>
      </c>
      <c r="F216" s="382">
        <f>'Order form'!S534</f>
        <v>30</v>
      </c>
      <c r="G216" s="382">
        <f t="shared" si="22"/>
        <v>0</v>
      </c>
      <c r="H216" s="383">
        <v>0.05</v>
      </c>
      <c r="I216" s="384">
        <f t="shared" si="25"/>
        <v>0</v>
      </c>
      <c r="J216" s="384" t="s">
        <v>22</v>
      </c>
      <c r="K216" s="384">
        <v>80</v>
      </c>
      <c r="L216" s="384">
        <f t="shared" si="26"/>
        <v>0</v>
      </c>
      <c r="M216" s="385">
        <f t="shared" si="24"/>
        <v>4</v>
      </c>
      <c r="N216" s="381">
        <f t="shared" si="31"/>
        <v>19</v>
      </c>
      <c r="O216" s="387">
        <f>SUM(G208:G216)</f>
        <v>0</v>
      </c>
    </row>
    <row r="217" spans="1:16" x14ac:dyDescent="0.2">
      <c r="A217" s="221"/>
      <c r="B217" s="222"/>
      <c r="C217" s="223">
        <f>IF('Order form'!Y553&gt;0,1,0)</f>
        <v>0</v>
      </c>
      <c r="D217" s="223"/>
      <c r="E217" s="645" t="str">
        <f>'Order form'!S553</f>
        <v>OTHER MATERIAL:</v>
      </c>
      <c r="F217" s="217">
        <f>'Order form'!Y553</f>
        <v>0</v>
      </c>
      <c r="G217" s="224">
        <f>F217</f>
        <v>0</v>
      </c>
      <c r="H217" s="218">
        <f>'Order form'!AC553</f>
        <v>0</v>
      </c>
      <c r="I217" s="218">
        <f>H217</f>
        <v>0</v>
      </c>
      <c r="J217" s="225"/>
      <c r="K217" s="225"/>
      <c r="L217" s="225"/>
      <c r="M217" s="226"/>
      <c r="N217" s="381">
        <f t="shared" si="31"/>
        <v>19</v>
      </c>
      <c r="O217" s="220"/>
      <c r="P217" s="207" t="s">
        <v>404</v>
      </c>
    </row>
    <row r="218" spans="1:16" x14ac:dyDescent="0.2">
      <c r="A218" s="221"/>
      <c r="B218" s="222"/>
      <c r="C218" s="223">
        <f>IF('Order form'!Y554&gt;0,1,0)</f>
        <v>0</v>
      </c>
      <c r="D218" s="223"/>
      <c r="E218" s="645" t="str">
        <f>'Order form'!S554</f>
        <v>OTHER MATERIAL:</v>
      </c>
      <c r="F218" s="217">
        <f>'Order form'!Y554</f>
        <v>0</v>
      </c>
      <c r="G218" s="224">
        <f>F218</f>
        <v>0</v>
      </c>
      <c r="H218" s="218">
        <f>'Order form'!AC554</f>
        <v>0</v>
      </c>
      <c r="I218" s="218">
        <f>H218</f>
        <v>0</v>
      </c>
      <c r="J218" s="225"/>
      <c r="K218" s="225"/>
      <c r="L218" s="225"/>
      <c r="M218" s="226"/>
      <c r="N218" s="381">
        <f t="shared" si="31"/>
        <v>19</v>
      </c>
      <c r="O218" s="220"/>
      <c r="P218" s="207" t="s">
        <v>404</v>
      </c>
    </row>
    <row r="219" spans="1:16" s="232" customFormat="1" x14ac:dyDescent="0.2">
      <c r="A219" s="227"/>
      <c r="B219" s="227"/>
      <c r="C219" s="223">
        <f>IF('Order form'!Y556&gt;0,1,0)</f>
        <v>0</v>
      </c>
      <c r="D219" s="223"/>
      <c r="E219" s="223" t="str">
        <f>'Order form'!S556</f>
        <v>PREPARATION CHARGE:</v>
      </c>
      <c r="F219" s="228">
        <f>'Order form'!Y556</f>
        <v>0</v>
      </c>
      <c r="G219" s="224">
        <f t="shared" ref="G219:G221" si="32">F219*C219</f>
        <v>0</v>
      </c>
      <c r="H219" s="229"/>
      <c r="I219" s="223">
        <v>0</v>
      </c>
      <c r="J219" s="223"/>
      <c r="K219" s="223"/>
      <c r="L219" s="223"/>
      <c r="M219" s="230"/>
      <c r="N219" s="381">
        <f t="shared" si="31"/>
        <v>19</v>
      </c>
      <c r="O219" s="231"/>
      <c r="P219" s="207" t="s">
        <v>403</v>
      </c>
    </row>
    <row r="220" spans="1:16" s="232" customFormat="1" x14ac:dyDescent="0.2">
      <c r="A220" s="227"/>
      <c r="B220" s="227"/>
      <c r="C220" s="223">
        <f>IF('Order form'!Y557&gt;0,1,0)</f>
        <v>0</v>
      </c>
      <c r="D220" s="223"/>
      <c r="E220" s="223" t="str">
        <f>'Order form'!S557</f>
        <v>CUTTING CHARGE:</v>
      </c>
      <c r="F220" s="228">
        <f>'Order form'!Y557</f>
        <v>0</v>
      </c>
      <c r="G220" s="224">
        <f t="shared" si="32"/>
        <v>0</v>
      </c>
      <c r="H220" s="229"/>
      <c r="I220" s="223">
        <v>0</v>
      </c>
      <c r="J220" s="223"/>
      <c r="K220" s="223"/>
      <c r="L220" s="223"/>
      <c r="M220" s="230"/>
      <c r="N220" s="381">
        <f t="shared" si="31"/>
        <v>19</v>
      </c>
      <c r="O220" s="231"/>
      <c r="P220" s="207" t="s">
        <v>403</v>
      </c>
    </row>
    <row r="221" spans="1:16" s="232" customFormat="1" x14ac:dyDescent="0.2">
      <c r="A221" s="227"/>
      <c r="B221" s="227"/>
      <c r="C221" s="223">
        <f>IF('Order form'!Y558&gt;0,1,0)</f>
        <v>0</v>
      </c>
      <c r="D221" s="223"/>
      <c r="E221" s="223" t="str">
        <f>'Order form'!S558</f>
        <v>SHIPPING CHARGE:</v>
      </c>
      <c r="F221" s="228">
        <f>'Order form'!Y558</f>
        <v>0</v>
      </c>
      <c r="G221" s="224">
        <f t="shared" si="32"/>
        <v>0</v>
      </c>
      <c r="H221" s="229"/>
      <c r="I221" s="223">
        <v>0</v>
      </c>
      <c r="J221" s="223"/>
      <c r="K221" s="223"/>
      <c r="L221" s="223"/>
      <c r="M221" s="230"/>
      <c r="N221" s="381">
        <f t="shared" si="31"/>
        <v>19</v>
      </c>
      <c r="O221" s="231"/>
      <c r="P221" s="207" t="s">
        <v>403</v>
      </c>
    </row>
    <row r="222" spans="1:16" ht="6" customHeight="1" x14ac:dyDescent="0.2">
      <c r="A222" s="227"/>
      <c r="B222" s="227"/>
      <c r="C222" s="227"/>
      <c r="D222" s="227"/>
      <c r="E222" s="227"/>
      <c r="F222" s="233"/>
      <c r="G222" s="233"/>
      <c r="H222" s="234"/>
      <c r="I222" s="227"/>
      <c r="J222" s="227"/>
      <c r="K222" s="227"/>
      <c r="L222" s="227"/>
      <c r="M222" s="226"/>
      <c r="N222" s="381">
        <f t="shared" ref="N222" si="33">IF(C222=0,N221,N221+1)</f>
        <v>19</v>
      </c>
      <c r="O222" s="227"/>
    </row>
    <row r="223" spans="1:16" s="239" customFormat="1" ht="18.75" x14ac:dyDescent="0.3">
      <c r="A223" s="235"/>
      <c r="B223" s="235"/>
      <c r="C223" s="235"/>
      <c r="D223" s="235" t="s">
        <v>7</v>
      </c>
      <c r="E223" s="235"/>
      <c r="F223" s="236"/>
      <c r="G223" s="236" t="e">
        <f>SUM(G2:G221)</f>
        <v>#VALUE!</v>
      </c>
      <c r="H223" s="237"/>
      <c r="I223" s="235">
        <f>SUM(I4:I221)</f>
        <v>165.26720000000003</v>
      </c>
      <c r="J223" s="235"/>
      <c r="K223" s="235"/>
      <c r="L223" s="235"/>
      <c r="M223" s="238"/>
      <c r="N223" s="235"/>
      <c r="O223" s="235"/>
    </row>
    <row r="224" spans="1:16" x14ac:dyDescent="0.2">
      <c r="F224" s="207"/>
      <c r="G224" s="207"/>
      <c r="H224" s="1266" t="s">
        <v>102</v>
      </c>
      <c r="I224" s="1266"/>
      <c r="J224" s="1266"/>
      <c r="K224" s="1266"/>
      <c r="L224" s="207">
        <f>ROUNDUP(L4+L5+L7+L9+L10+L11+L12+L14+L15+L18+L26+L27,0)</f>
        <v>4</v>
      </c>
    </row>
    <row r="225" spans="3:12" x14ac:dyDescent="0.2">
      <c r="F225" s="207"/>
      <c r="G225" s="207"/>
      <c r="H225" s="1267" t="s">
        <v>386</v>
      </c>
      <c r="I225" s="1267"/>
      <c r="J225" s="1267"/>
      <c r="K225" s="1267"/>
      <c r="L225" s="207">
        <f>ROUNDUP(SUM(L19:L25)+SUM(L33:L54)+SUM(L75:L94)+SUM(L115:L155)+SUM(L160:L179)+SUM(L182:L198)+SUM(L208:L216),0)</f>
        <v>5</v>
      </c>
    </row>
    <row r="226" spans="3:12" x14ac:dyDescent="0.2">
      <c r="F226" s="207"/>
      <c r="G226" s="207"/>
      <c r="H226" s="1267" t="s">
        <v>568</v>
      </c>
      <c r="I226" s="1267"/>
      <c r="J226" s="1267"/>
      <c r="K226" s="1267"/>
      <c r="L226" s="207">
        <f>ROUNDUP(SUM(L156:L159)+SUM(L199:L203),0)</f>
        <v>0</v>
      </c>
    </row>
    <row r="227" spans="3:12" x14ac:dyDescent="0.2">
      <c r="F227" s="207"/>
      <c r="G227" s="207"/>
      <c r="H227" s="1267"/>
      <c r="I227" s="1267"/>
      <c r="J227" s="1267"/>
      <c r="K227" s="1267"/>
    </row>
    <row r="228" spans="3:12" x14ac:dyDescent="0.2">
      <c r="C228" s="225" t="str">
        <f>Quotation!B60</f>
        <v>TRANSPORT SHOULD BE DONE BY:</v>
      </c>
      <c r="D228" s="227" t="s">
        <v>31</v>
      </c>
      <c r="E228" s="227">
        <f>Quotation!D60</f>
        <v>165.26720000000003</v>
      </c>
      <c r="F228" s="240">
        <v>0</v>
      </c>
      <c r="G228" s="241">
        <v>0</v>
      </c>
      <c r="H228" s="242"/>
      <c r="I228" s="243"/>
      <c r="J228" s="243"/>
      <c r="K228" s="243"/>
    </row>
    <row r="229" spans="3:12" x14ac:dyDescent="0.2">
      <c r="C229" s="244" t="s">
        <v>104</v>
      </c>
      <c r="D229" s="245">
        <f>IF(I223&lt;150,L224,0)</f>
        <v>0</v>
      </c>
      <c r="E229" s="245" t="s">
        <v>387</v>
      </c>
      <c r="F229" s="246">
        <f>IF(D229=0,H228,H228+1)</f>
        <v>0</v>
      </c>
      <c r="G229" s="247">
        <f>IF(F229=0,G228,G228+1)</f>
        <v>0</v>
      </c>
      <c r="H229" s="248"/>
    </row>
    <row r="230" spans="3:12" x14ac:dyDescent="0.2">
      <c r="C230" s="244"/>
      <c r="D230" s="245">
        <f>IF(I223&lt;150,L225,0)</f>
        <v>0</v>
      </c>
      <c r="E230" s="245" t="s">
        <v>385</v>
      </c>
      <c r="F230" s="246">
        <f>IF(D230=0,H229,H229+1)</f>
        <v>0</v>
      </c>
      <c r="G230" s="247">
        <f t="shared" ref="G230:G234" si="34">IF(F230=0,G229,G229+1)</f>
        <v>0</v>
      </c>
      <c r="H230" s="248"/>
    </row>
    <row r="231" spans="3:12" x14ac:dyDescent="0.2">
      <c r="C231" s="244"/>
      <c r="D231" s="245">
        <f>IF(I223&lt;150,L226,0)</f>
        <v>0</v>
      </c>
      <c r="E231" s="245" t="s">
        <v>384</v>
      </c>
      <c r="F231" s="246">
        <f>IF(D231=0,H230,H230+1)</f>
        <v>0</v>
      </c>
      <c r="G231" s="247">
        <f t="shared" si="34"/>
        <v>0</v>
      </c>
      <c r="H231" s="248"/>
    </row>
    <row r="232" spans="3:12" x14ac:dyDescent="0.2">
      <c r="C232" s="1262" t="s">
        <v>105</v>
      </c>
      <c r="D232" s="249">
        <f>IF(I223&gt;150,IF((L224+L226)&gt;0,IF(I223&gt;1500,2,1),0),0)</f>
        <v>1</v>
      </c>
      <c r="E232" s="249" t="s">
        <v>500</v>
      </c>
      <c r="F232" s="250">
        <f>IF(D232=0,H231,H231+1)+L204</f>
        <v>1</v>
      </c>
      <c r="G232" s="251">
        <f t="shared" si="34"/>
        <v>1</v>
      </c>
      <c r="H232" s="248"/>
      <c r="I232" s="214"/>
    </row>
    <row r="233" spans="3:12" x14ac:dyDescent="0.2">
      <c r="C233" s="1263"/>
      <c r="D233" s="249">
        <f>IF((L224+L226)=0,IF(I223&gt;150,IF(I223&gt;1500,2,1),0),0)</f>
        <v>0</v>
      </c>
      <c r="E233" s="249" t="s">
        <v>499</v>
      </c>
      <c r="F233" s="250">
        <f>IF(D233=0,H232,H232+1)</f>
        <v>0</v>
      </c>
      <c r="G233" s="251">
        <f t="shared" si="34"/>
        <v>1</v>
      </c>
      <c r="H233" s="248"/>
      <c r="I233" s="214"/>
    </row>
    <row r="234" spans="3:12" x14ac:dyDescent="0.2">
      <c r="C234" s="1264"/>
      <c r="D234" s="249"/>
      <c r="E234" s="249"/>
      <c r="F234" s="252"/>
      <c r="G234" s="251">
        <f t="shared" si="34"/>
        <v>1</v>
      </c>
      <c r="H234" s="248"/>
    </row>
    <row r="235" spans="3:12" x14ac:dyDescent="0.2">
      <c r="D235" s="207">
        <f>SUM(D229:D233)</f>
        <v>1</v>
      </c>
    </row>
    <row r="236" spans="3:12" x14ac:dyDescent="0.2">
      <c r="E236" s="214" t="s">
        <v>569</v>
      </c>
    </row>
    <row r="237" spans="3:12" x14ac:dyDescent="0.2">
      <c r="E237" s="214" t="s">
        <v>388</v>
      </c>
    </row>
  </sheetData>
  <mergeCells count="13">
    <mergeCell ref="O18:O32"/>
    <mergeCell ref="C232:C234"/>
    <mergeCell ref="C1:M1"/>
    <mergeCell ref="H224:K224"/>
    <mergeCell ref="H225:K225"/>
    <mergeCell ref="H226:K226"/>
    <mergeCell ref="H227:K227"/>
    <mergeCell ref="O182:O198"/>
    <mergeCell ref="O160:O181"/>
    <mergeCell ref="O156:O159"/>
    <mergeCell ref="O115:O155"/>
    <mergeCell ref="O33:O74"/>
    <mergeCell ref="O4:O17"/>
  </mergeCells>
  <phoneticPr fontId="12" type="noConversion"/>
  <conditionalFormatting sqref="A204 C217:C221 O219:O221 Q219:IU221 B199:B204 C219:M221 A210:A218 B185:B186">
    <cfRule type="expression" dxfId="47" priority="94" stopIfTrue="1">
      <formula>$F185&gt;0</formula>
    </cfRule>
  </conditionalFormatting>
  <conditionalFormatting sqref="G219:G221 J137:J139 C218:C221 B182:K182 L200:L216 G199:G216 B210:B216 H74:H136 I4:N4 M134:M137 L119:L155 B183:M190 B199:M204 C205:M218 K137:M177 B191 K178:K181 M178:M182 L178:L198 J142:J181 B137:I181 B4:G136 I5:M136 H4:H71 N5:N222 C191:M198">
    <cfRule type="expression" dxfId="46" priority="93" stopIfTrue="1">
      <formula>$C4&gt;0</formula>
    </cfRule>
  </conditionalFormatting>
  <conditionalFormatting sqref="C160:C161">
    <cfRule type="expression" dxfId="45" priority="92" stopIfTrue="1">
      <formula>$C160&gt;0</formula>
    </cfRule>
  </conditionalFormatting>
  <conditionalFormatting sqref="A209">
    <cfRule type="expression" dxfId="44" priority="65" stopIfTrue="1">
      <formula>$F209&gt;0</formula>
    </cfRule>
  </conditionalFormatting>
  <conditionalFormatting sqref="B209">
    <cfRule type="expression" dxfId="43" priority="57" stopIfTrue="1">
      <formula>$C209&gt;0</formula>
    </cfRule>
  </conditionalFormatting>
  <conditionalFormatting sqref="B209">
    <cfRule type="expression" dxfId="42" priority="56" stopIfTrue="1">
      <formula>$C209&gt;0</formula>
    </cfRule>
  </conditionalFormatting>
  <conditionalFormatting sqref="B208">
    <cfRule type="expression" dxfId="41" priority="55" stopIfTrue="1">
      <formula>$C208&gt;0</formula>
    </cfRule>
  </conditionalFormatting>
  <conditionalFormatting sqref="B208">
    <cfRule type="expression" dxfId="40" priority="54" stopIfTrue="1">
      <formula>$C208&gt;0</formula>
    </cfRule>
  </conditionalFormatting>
  <conditionalFormatting sqref="B206">
    <cfRule type="expression" dxfId="39" priority="49" stopIfTrue="1">
      <formula>$C206&gt;0</formula>
    </cfRule>
  </conditionalFormatting>
  <conditionalFormatting sqref="B206">
    <cfRule type="expression" dxfId="38" priority="48" stopIfTrue="1">
      <formula>$C206&gt;0</formula>
    </cfRule>
  </conditionalFormatting>
  <conditionalFormatting sqref="B205">
    <cfRule type="expression" dxfId="37" priority="47" stopIfTrue="1">
      <formula>$C205&gt;0</formula>
    </cfRule>
  </conditionalFormatting>
  <conditionalFormatting sqref="B205">
    <cfRule type="expression" dxfId="36" priority="46" stopIfTrue="1">
      <formula>$C205&gt;0</formula>
    </cfRule>
  </conditionalFormatting>
  <conditionalFormatting sqref="E75:E95">
    <cfRule type="expression" dxfId="35" priority="40" stopIfTrue="1">
      <formula>$C75&gt;0</formula>
    </cfRule>
  </conditionalFormatting>
  <conditionalFormatting sqref="E204">
    <cfRule type="expression" dxfId="34" priority="39" stopIfTrue="1">
      <formula>$C204&gt;0</formula>
    </cfRule>
  </conditionalFormatting>
  <conditionalFormatting sqref="B204">
    <cfRule type="expression" dxfId="33" priority="36" stopIfTrue="1">
      <formula>$F204&gt;0</formula>
    </cfRule>
  </conditionalFormatting>
  <conditionalFormatting sqref="B204">
    <cfRule type="expression" dxfId="32" priority="35" stopIfTrue="1">
      <formula>$C204&gt;0</formula>
    </cfRule>
  </conditionalFormatting>
  <conditionalFormatting sqref="B199">
    <cfRule type="expression" dxfId="31" priority="33" stopIfTrue="1">
      <formula>$F199&gt;0</formula>
    </cfRule>
  </conditionalFormatting>
  <conditionalFormatting sqref="B199">
    <cfRule type="expression" dxfId="30" priority="32" stopIfTrue="1">
      <formula>$C199&gt;0</formula>
    </cfRule>
  </conditionalFormatting>
  <conditionalFormatting sqref="B200">
    <cfRule type="expression" dxfId="29" priority="31" stopIfTrue="1">
      <formula>$F200&gt;0</formula>
    </cfRule>
  </conditionalFormatting>
  <conditionalFormatting sqref="B200">
    <cfRule type="expression" dxfId="28" priority="30" stopIfTrue="1">
      <formula>$C200&gt;0</formula>
    </cfRule>
  </conditionalFormatting>
  <conditionalFormatting sqref="B201">
    <cfRule type="expression" dxfId="27" priority="29" stopIfTrue="1">
      <formula>$F201&gt;0</formula>
    </cfRule>
  </conditionalFormatting>
  <conditionalFormatting sqref="B201">
    <cfRule type="expression" dxfId="26" priority="28" stopIfTrue="1">
      <formula>$C201&gt;0</formula>
    </cfRule>
  </conditionalFormatting>
  <conditionalFormatting sqref="B202">
    <cfRule type="expression" dxfId="25" priority="27" stopIfTrue="1">
      <formula>$F202&gt;0</formula>
    </cfRule>
  </conditionalFormatting>
  <conditionalFormatting sqref="B202">
    <cfRule type="expression" dxfId="24" priority="26" stopIfTrue="1">
      <formula>$C202&gt;0</formula>
    </cfRule>
  </conditionalFormatting>
  <conditionalFormatting sqref="B203">
    <cfRule type="expression" dxfId="23" priority="25" stopIfTrue="1">
      <formula>$F203&gt;0</formula>
    </cfRule>
  </conditionalFormatting>
  <conditionalFormatting sqref="B203">
    <cfRule type="expression" dxfId="22" priority="24" stopIfTrue="1">
      <formula>$C203&gt;0</formula>
    </cfRule>
  </conditionalFormatting>
  <conditionalFormatting sqref="J140:J141">
    <cfRule type="expression" dxfId="21" priority="96" stopIfTrue="1">
      <formula>$C138&gt;0</formula>
    </cfRule>
  </conditionalFormatting>
  <conditionalFormatting sqref="H73">
    <cfRule type="expression" dxfId="20" priority="98" stopIfTrue="1">
      <formula>$C72&gt;0</formula>
    </cfRule>
  </conditionalFormatting>
  <conditionalFormatting sqref="B194:B198">
    <cfRule type="expression" dxfId="19" priority="6" stopIfTrue="1">
      <formula>$C194&gt;0</formula>
    </cfRule>
  </conditionalFormatting>
  <conditionalFormatting sqref="B192:B193">
    <cfRule type="expression" dxfId="18" priority="5" stopIfTrue="1">
      <formula>$C192&gt;0</formula>
    </cfRule>
  </conditionalFormatting>
  <conditionalFormatting sqref="B207">
    <cfRule type="expression" dxfId="17" priority="4" stopIfTrue="1">
      <formula>$F207&gt;0</formula>
    </cfRule>
  </conditionalFormatting>
  <conditionalFormatting sqref="B207">
    <cfRule type="expression" dxfId="16" priority="3" stopIfTrue="1">
      <formula>$C207&gt;0</formula>
    </cfRule>
  </conditionalFormatting>
  <conditionalFormatting sqref="B207">
    <cfRule type="expression" dxfId="15" priority="2" stopIfTrue="1">
      <formula>$F207&gt;0</formula>
    </cfRule>
  </conditionalFormatting>
  <conditionalFormatting sqref="B207">
    <cfRule type="expression" dxfId="14" priority="1" stopIfTrue="1">
      <formula>$C207&gt;0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284" t="s">
        <v>460</v>
      </c>
      <c r="C1" s="1285"/>
      <c r="D1" s="1288"/>
      <c r="E1" s="1289"/>
      <c r="F1" s="1292"/>
      <c r="G1" s="1294" t="s">
        <v>115</v>
      </c>
      <c r="H1" s="1295"/>
      <c r="I1" s="1295"/>
      <c r="J1" s="1296"/>
    </row>
    <row r="2" spans="1:15" ht="4.3499999999999996" customHeight="1" thickBot="1" x14ac:dyDescent="0.25">
      <c r="A2" s="1"/>
      <c r="B2" s="1286"/>
      <c r="C2" s="1287"/>
      <c r="D2" s="1290"/>
      <c r="E2" s="1291"/>
      <c r="F2" s="1293"/>
      <c r="G2" s="1297"/>
      <c r="H2" s="1298"/>
      <c r="I2" s="1298"/>
      <c r="J2" s="1299"/>
      <c r="L2" s="11"/>
    </row>
    <row r="3" spans="1:15" ht="12.75" customHeight="1" x14ac:dyDescent="0.2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25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25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 x14ac:dyDescent="0.3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300"/>
      <c r="J9" s="1301"/>
      <c r="L9" s="1"/>
      <c r="O9" s="6"/>
    </row>
    <row r="10" spans="1:15" ht="13.5" thickBot="1" x14ac:dyDescent="0.25">
      <c r="A10" s="1"/>
      <c r="B10" s="84">
        <f>'Order form'!H548</f>
        <v>0</v>
      </c>
      <c r="C10" s="85"/>
      <c r="D10" s="96"/>
      <c r="E10" s="119"/>
      <c r="F10" s="124"/>
      <c r="G10" s="79" t="s">
        <v>418</v>
      </c>
      <c r="H10" s="97"/>
      <c r="I10" s="87"/>
      <c r="J10" s="90"/>
      <c r="L10" s="1"/>
      <c r="O10" s="6"/>
    </row>
    <row r="11" spans="1:15" ht="12.75" x14ac:dyDescent="0.2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 x14ac:dyDescent="0.2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 x14ac:dyDescent="0.25">
      <c r="A13" s="1"/>
      <c r="B13" s="1302" t="s">
        <v>125</v>
      </c>
      <c r="C13" s="1303"/>
      <c r="D13" s="1304"/>
      <c r="E13" s="1304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 x14ac:dyDescent="0.2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 x14ac:dyDescent="0.2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 x14ac:dyDescent="0.2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 x14ac:dyDescent="0.25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25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 x14ac:dyDescent="0.2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308" t="str">
        <f>'Order form'!H551</f>
        <v>Please write you account number if collect</v>
      </c>
      <c r="I20" s="1308"/>
      <c r="J20" s="1309"/>
      <c r="L20" s="1"/>
      <c r="O20" s="6"/>
    </row>
    <row r="21" spans="1:33" ht="12.75" x14ac:dyDescent="0.2">
      <c r="A21" s="1"/>
      <c r="B21" s="80"/>
      <c r="C21" s="85"/>
      <c r="D21" s="85"/>
      <c r="E21" s="109"/>
      <c r="F21" s="8"/>
      <c r="G21" s="101" t="s">
        <v>160</v>
      </c>
      <c r="H21" s="1310" t="str">
        <f>Quotation!D61</f>
        <v>Wood skids 96'' X 48'' X 35'' (H)</v>
      </c>
      <c r="I21" s="1310"/>
      <c r="J21" s="1311"/>
      <c r="L21" s="1"/>
      <c r="M21" s="1"/>
      <c r="N21" s="1"/>
      <c r="O21" s="7"/>
    </row>
    <row r="22" spans="1:33" ht="12.75" customHeight="1" thickBot="1" x14ac:dyDescent="0.25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312" t="e">
        <f>Resume!#REF!</f>
        <v>#REF!</v>
      </c>
      <c r="I22" s="1312"/>
      <c r="J22" s="1313"/>
    </row>
    <row r="23" spans="1:33" ht="12.75" thickBot="1" x14ac:dyDescent="0.25">
      <c r="A23" s="1"/>
      <c r="B23" s="65"/>
      <c r="C23" s="64"/>
      <c r="D23" s="64"/>
      <c r="E23" s="67"/>
      <c r="F23" s="68"/>
      <c r="G23" s="68"/>
      <c r="H23" s="1305"/>
      <c r="I23" s="1305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306" t="str">
        <f>VLOOKUP(G1,E99:Z101,14)</f>
        <v>DESCRIPTION</v>
      </c>
      <c r="H25" s="1307"/>
      <c r="I25" s="183" t="str">
        <f>VLOOKUP(G1,E99:AB101,15)</f>
        <v>UNIT PRICE</v>
      </c>
      <c r="J25" s="183" t="s">
        <v>60</v>
      </c>
    </row>
    <row r="26" spans="1:33" ht="13.15" customHeight="1" x14ac:dyDescent="0.2">
      <c r="A26" s="1"/>
      <c r="B26" s="1"/>
      <c r="C26" s="185"/>
      <c r="D26" s="177"/>
      <c r="E26" s="178"/>
      <c r="F26" s="179"/>
      <c r="G26" s="1282"/>
      <c r="H26" s="1283"/>
      <c r="I26" s="178"/>
      <c r="J26" s="180"/>
      <c r="N26" s="21"/>
      <c r="O26" s="21"/>
    </row>
    <row r="27" spans="1:33" ht="13.15" customHeight="1" x14ac:dyDescent="0.2">
      <c r="A27" s="1"/>
      <c r="B27" s="1"/>
      <c r="C27" s="185"/>
      <c r="D27" s="177"/>
      <c r="E27" s="178"/>
      <c r="F27" s="179"/>
      <c r="G27" s="1282"/>
      <c r="H27" s="1283"/>
      <c r="I27" s="178"/>
      <c r="J27" s="180"/>
    </row>
    <row r="28" spans="1:33" s="23" customFormat="1" ht="13.15" customHeight="1" x14ac:dyDescent="0.2">
      <c r="A28" s="3"/>
      <c r="B28" s="22"/>
      <c r="C28" s="10" t="str">
        <f>IFERROR(INDEX(Resume!$A$3:$F$218,MATCH(ROW($B1),Resume!$N$3:$N$218,0),MATCH('Commercial Invoice'!C$25,Resume!$A$2:$F$2,0)),"")</f>
        <v>CHINA</v>
      </c>
      <c r="D28" s="181" t="str">
        <f>IFERROR(INDEX(Resume!$A$3:$F$218,MATCH(ROW($B1),Resume!$N$3:$N$218,0),MATCH('Commercial Invoice'!D$25,Resume!$A$2:$F$2,0)),"")</f>
        <v>7306.30.5020</v>
      </c>
      <c r="E28" s="181">
        <f>IFERROR(INDEX(Resume!$A$3:$F$218,MATCH(ROW($B1),Resume!$N$3:$N$218,0),MATCH('Commercial Invoice'!E$25,Resume!$A$2:$F$2,0)),"")</f>
        <v>32</v>
      </c>
      <c r="F28" s="181" t="str">
        <f>IFERROR(INDEX(Resume!$A$3:$F$218,MATCH(ROW($B1),Resume!$N$3:$N$218,0),MATCH('Commercial Invoice'!F$25,Resume!$A$2:$F$2,0)),"")</f>
        <v>P-96-BL</v>
      </c>
      <c r="G28" s="1314" t="str">
        <f>IFERROR(INDEX(Resume!$A$3:$F$218,MATCH(ROW($B1),Resume!$N$3:$N$218,0),MATCH('Commercial Invoice'!G$25,Resume!$A$2:$F$2,0)),"")</f>
        <v>Blue 8' steel pipe PE coated</v>
      </c>
      <c r="H28" s="1315"/>
      <c r="I28" s="182">
        <f>IFERROR(INDEX(Resume!$A$3:$F$218,MATCH(ROW($B1),Resume!$N$3:$N$218,0),MATCH('Commercial Invoice'!I$25,Resume!$A$2:$F$2,0)),"")</f>
        <v>6.5</v>
      </c>
      <c r="J28" s="180">
        <f t="shared" ref="J28:J60" si="0">IFERROR(I28*E28,"")</f>
        <v>208</v>
      </c>
      <c r="L28" s="5"/>
      <c r="M28" s="5"/>
      <c r="N28" s="21"/>
      <c r="O28" s="21"/>
    </row>
    <row r="29" spans="1:33" ht="13.15" customHeight="1" x14ac:dyDescent="0.2">
      <c r="A29" s="1"/>
      <c r="B29" s="1"/>
      <c r="C29" s="10" t="str">
        <f>IFERROR(INDEX(Resume!$A$3:$F$218,MATCH(ROW($B2),Resume!$N$3:$N$218,0),MATCH('Commercial Invoice'!C$25,Resume!$A$2:$F$2,0)),"")</f>
        <v>CHINA</v>
      </c>
      <c r="D29" s="181" t="str">
        <f>IFERROR(INDEX(Resume!$A$3:$F$218,MATCH(ROW($B2),Resume!$N$3:$N$218,0),MATCH('Commercial Invoice'!D$25,Resume!$A$2:$F$2,0)),"")</f>
        <v>7307.99.1000</v>
      </c>
      <c r="E29" s="181">
        <f>IFERROR(INDEX(Resume!$A$3:$F$218,MATCH(ROW($B2),Resume!$N$3:$N$218,0),MATCH('Commercial Invoice'!E$25,Resume!$A$2:$F$2,0)),"")</f>
        <v>80</v>
      </c>
      <c r="F29" s="181" t="str">
        <f>IFERROR(INDEX(Resume!$A$3:$F$218,MATCH(ROW($B2),Resume!$N$3:$N$218,0),MATCH('Commercial Invoice'!F$25,Resume!$A$2:$F$2,0)),"")</f>
        <v>H-1</v>
      </c>
      <c r="G29" s="1314" t="str">
        <f>IFERROR(INDEX(Resume!$A$3:$F$218,MATCH(ROW($B2),Resume!$N$3:$N$218,0),MATCH('Commercial Invoice'!G$25,Resume!$A$2:$F$2,0)),"")</f>
        <v>Standard tee joint steel black</v>
      </c>
      <c r="H29" s="1315"/>
      <c r="I29" s="182">
        <f>IFERROR(INDEX(Resume!$A$3:$F$218,MATCH(ROW($B2),Resume!$N$3:$N$218,0),MATCH('Commercial Invoice'!I$25,Resume!$A$2:$F$2,0)),"")</f>
        <v>0.55000000000000004</v>
      </c>
      <c r="J29" s="180">
        <f t="shared" si="0"/>
        <v>44</v>
      </c>
      <c r="N29" s="21"/>
      <c r="O29" s="21"/>
    </row>
    <row r="30" spans="1:33" ht="13.15" customHeight="1" x14ac:dyDescent="0.2">
      <c r="A30" s="1"/>
      <c r="B30" s="1"/>
      <c r="C30" s="10" t="str">
        <f>IFERROR(INDEX(Resume!$A$3:$F$218,MATCH(ROW($B3),Resume!$N$3:$N$218,0),MATCH('Commercial Invoice'!C$25,Resume!$A$2:$F$2,0)),"")</f>
        <v>CHINA</v>
      </c>
      <c r="D30" s="181" t="str">
        <f>IFERROR(INDEX(Resume!$A$3:$F$218,MATCH(ROW($B3),Resume!$N$3:$N$218,0),MATCH('Commercial Invoice'!D$25,Resume!$A$2:$F$2,0)),"")</f>
        <v>7307.99.1000</v>
      </c>
      <c r="E30" s="181">
        <f>IFERROR(INDEX(Resume!$A$3:$F$218,MATCH(ROW($B3),Resume!$N$3:$N$218,0),MATCH('Commercial Invoice'!E$25,Resume!$A$2:$F$2,0)),"")</f>
        <v>44</v>
      </c>
      <c r="F30" s="181" t="str">
        <f>IFERROR(INDEX(Resume!$A$3:$F$218,MATCH(ROW($B3),Resume!$N$3:$N$218,0),MATCH('Commercial Invoice'!F$25,Resume!$A$2:$F$2,0)),"")</f>
        <v>H-2</v>
      </c>
      <c r="G30" s="1314" t="str">
        <f>IFERROR(INDEX(Resume!$A$3:$F$218,MATCH(ROW($B3),Resume!$N$3:$N$218,0),MATCH('Commercial Invoice'!G$25,Resume!$A$2:$F$2,0)),"")</f>
        <v>Inner corner joint steel black</v>
      </c>
      <c r="H30" s="1315"/>
      <c r="I30" s="182">
        <f>IFERROR(INDEX(Resume!$A$3:$F$218,MATCH(ROW($B3),Resume!$N$3:$N$218,0),MATCH('Commercial Invoice'!I$25,Resume!$A$2:$F$2,0)),"")</f>
        <v>0.92</v>
      </c>
      <c r="J30" s="180">
        <f t="shared" si="0"/>
        <v>40.480000000000004</v>
      </c>
      <c r="L30" s="13"/>
    </row>
    <row r="31" spans="1:33" ht="13.15" customHeight="1" x14ac:dyDescent="0.2">
      <c r="A31" s="1"/>
      <c r="B31" s="1"/>
      <c r="C31" s="10" t="str">
        <f>IFERROR(INDEX(Resume!$A$3:$F$218,MATCH(ROW($B4),Resume!$N$3:$N$218,0),MATCH('Commercial Invoice'!C$25,Resume!$A$2:$F$2,0)),"")</f>
        <v>CHINA</v>
      </c>
      <c r="D31" s="181" t="str">
        <f>IFERROR(INDEX(Resume!$A$3:$F$218,MATCH(ROW($B4),Resume!$N$3:$N$218,0),MATCH('Commercial Invoice'!D$25,Resume!$A$2:$F$2,0)),"")</f>
        <v>7307.99.1000</v>
      </c>
      <c r="E31" s="181">
        <f>IFERROR(INDEX(Resume!$A$3:$F$218,MATCH(ROW($B4),Resume!$N$3:$N$218,0),MATCH('Commercial Invoice'!E$25,Resume!$A$2:$F$2,0)),"")</f>
        <v>40</v>
      </c>
      <c r="F31" s="181" t="str">
        <f>IFERROR(INDEX(Resume!$A$3:$F$218,MATCH(ROW($B4),Resume!$N$3:$N$218,0),MATCH('Commercial Invoice'!F$25,Resume!$A$2:$F$2,0)),"")</f>
        <v>H-3</v>
      </c>
      <c r="G31" s="1314" t="str">
        <f>IFERROR(INDEX(Resume!$A$3:$F$218,MATCH(ROW($B4),Resume!$N$3:$N$218,0),MATCH('Commercial Invoice'!G$25,Resume!$A$2:$F$2,0)),"")</f>
        <v>Outer corner joint steel black</v>
      </c>
      <c r="H31" s="1315"/>
      <c r="I31" s="182">
        <f>IFERROR(INDEX(Resume!$A$3:$F$218,MATCH(ROW($B4),Resume!$N$3:$N$218,0),MATCH('Commercial Invoice'!I$25,Resume!$A$2:$F$2,0)),"")</f>
        <v>0.95</v>
      </c>
      <c r="J31" s="180">
        <f t="shared" si="0"/>
        <v>38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 x14ac:dyDescent="0.2">
      <c r="A32" s="1"/>
      <c r="B32" s="1"/>
      <c r="C32" s="10" t="str">
        <f>IFERROR(INDEX(Resume!$A$3:$F$218,MATCH(ROW($B5),Resume!$N$3:$N$218,0),MATCH('Commercial Invoice'!C$25,Resume!$A$2:$F$2,0)),"")</f>
        <v>CHINA</v>
      </c>
      <c r="D32" s="181" t="str">
        <f>IFERROR(INDEX(Resume!$A$3:$F$218,MATCH(ROW($B5),Resume!$N$3:$N$218,0),MATCH('Commercial Invoice'!D$25,Resume!$A$2:$F$2,0)),"")</f>
        <v>7307.99.1000</v>
      </c>
      <c r="E32" s="181">
        <f>IFERROR(INDEX(Resume!$A$3:$F$218,MATCH(ROW($B5),Resume!$N$3:$N$218,0),MATCH('Commercial Invoice'!E$25,Resume!$A$2:$F$2,0)),"")</f>
        <v>6</v>
      </c>
      <c r="F32" s="181" t="str">
        <f>IFERROR(INDEX(Resume!$A$3:$F$218,MATCH(ROW($B5),Resume!$N$3:$N$218,0),MATCH('Commercial Invoice'!F$25,Resume!$A$2:$F$2,0)),"")</f>
        <v>H-4</v>
      </c>
      <c r="G32" s="1314" t="str">
        <f>IFERROR(INDEX(Resume!$A$3:$F$218,MATCH(ROW($B5),Resume!$N$3:$N$218,0),MATCH('Commercial Invoice'!G$25,Resume!$A$2:$F$2,0)),"")</f>
        <v>Cross junction joint steel black</v>
      </c>
      <c r="H32" s="1315"/>
      <c r="I32" s="182">
        <f>IFERROR(INDEX(Resume!$A$3:$F$218,MATCH(ROW($B5),Resume!$N$3:$N$218,0),MATCH('Commercial Invoice'!I$25,Resume!$A$2:$F$2,0)),"")</f>
        <v>0.85</v>
      </c>
      <c r="J32" s="180">
        <f t="shared" si="0"/>
        <v>5.0999999999999996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 x14ac:dyDescent="0.2">
      <c r="A33" s="1"/>
      <c r="B33" s="1"/>
      <c r="C33" s="10" t="str">
        <f>IFERROR(INDEX(Resume!$A$3:$F$218,MATCH(ROW($B6),Resume!$N$3:$N$218,0),MATCH('Commercial Invoice'!C$25,Resume!$A$2:$F$2,0)),"")</f>
        <v>CHINA</v>
      </c>
      <c r="D33" s="181" t="str">
        <f>IFERROR(INDEX(Resume!$A$3:$F$218,MATCH(ROW($B6),Resume!$N$3:$N$218,0),MATCH('Commercial Invoice'!D$25,Resume!$A$2:$F$2,0)),"")</f>
        <v>7307.99.1000</v>
      </c>
      <c r="E33" s="181">
        <f>IFERROR(INDEX(Resume!$A$3:$F$218,MATCH(ROW($B6),Resume!$N$3:$N$218,0),MATCH('Commercial Invoice'!E$25,Resume!$A$2:$F$2,0)),"")</f>
        <v>4</v>
      </c>
      <c r="F33" s="181" t="str">
        <f>IFERROR(INDEX(Resume!$A$3:$F$218,MATCH(ROW($B6),Resume!$N$3:$N$218,0),MATCH('Commercial Invoice'!F$25,Resume!$A$2:$F$2,0)),"")</f>
        <v>H-5</v>
      </c>
      <c r="G33" s="1314" t="str">
        <f>IFERROR(INDEX(Resume!$A$3:$F$218,MATCH(ROW($B6),Resume!$N$3:$N$218,0),MATCH('Commercial Invoice'!G$25,Resume!$A$2:$F$2,0)),"")</f>
        <v>Pivot point joint steel black</v>
      </c>
      <c r="H33" s="1315"/>
      <c r="I33" s="182">
        <f>IFERROR(INDEX(Resume!$A$3:$F$218,MATCH(ROW($B6),Resume!$N$3:$N$218,0),MATCH('Commercial Invoice'!I$25,Resume!$A$2:$F$2,0)),"")</f>
        <v>0.5</v>
      </c>
      <c r="J33" s="180">
        <f t="shared" si="0"/>
        <v>2</v>
      </c>
    </row>
    <row r="34" spans="1:12" ht="13.15" customHeight="1" x14ac:dyDescent="0.2">
      <c r="A34" s="1"/>
      <c r="B34" s="1"/>
      <c r="C34" s="10" t="str">
        <f>IFERROR(INDEX(Resume!$A$3:$F$218,MATCH(ROW($B7),Resume!$N$3:$N$218,0),MATCH('Commercial Invoice'!C$25,Resume!$A$2:$F$2,0)),"")</f>
        <v>CHINA</v>
      </c>
      <c r="D34" s="181" t="str">
        <f>IFERROR(INDEX(Resume!$A$3:$F$218,MATCH(ROW($B7),Resume!$N$3:$N$218,0),MATCH('Commercial Invoice'!D$25,Resume!$A$2:$F$2,0)),"")</f>
        <v>7307.99.1000</v>
      </c>
      <c r="E34" s="181">
        <f>IFERROR(INDEX(Resume!$A$3:$F$218,MATCH(ROW($B7),Resume!$N$3:$N$218,0),MATCH('Commercial Invoice'!E$25,Resume!$A$2:$F$2,0)),"")</f>
        <v>4</v>
      </c>
      <c r="F34" s="181" t="str">
        <f>IFERROR(INDEX(Resume!$A$3:$F$218,MATCH(ROW($B7),Resume!$N$3:$N$218,0),MATCH('Commercial Invoice'!F$25,Resume!$A$2:$F$2,0)),"")</f>
        <v>H-6</v>
      </c>
      <c r="G34" s="1314" t="str">
        <f>IFERROR(INDEX(Resume!$A$3:$F$218,MATCH(ROW($B7),Resume!$N$3:$N$218,0),MATCH('Commercial Invoice'!G$25,Resume!$A$2:$F$2,0)),"")</f>
        <v>Pivot extension steel black</v>
      </c>
      <c r="H34" s="1315"/>
      <c r="I34" s="182">
        <f>IFERROR(INDEX(Resume!$A$3:$F$218,MATCH(ROW($B7),Resume!$N$3:$N$218,0),MATCH('Commercial Invoice'!I$25,Resume!$A$2:$F$2,0)),"")</f>
        <v>0.5</v>
      </c>
      <c r="J34" s="180">
        <f t="shared" si="0"/>
        <v>2</v>
      </c>
      <c r="L34" s="13"/>
    </row>
    <row r="35" spans="1:12" s="23" customFormat="1" ht="13.15" customHeight="1" x14ac:dyDescent="0.2">
      <c r="A35" s="3"/>
      <c r="B35" s="3"/>
      <c r="C35" s="10" t="str">
        <f>IFERROR(INDEX(Resume!$A$3:$F$218,MATCH(ROW($B8),Resume!$N$3:$N$218,0),MATCH('Commercial Invoice'!C$25,Resume!$A$2:$F$2,0)),"")</f>
        <v>CHINA</v>
      </c>
      <c r="D35" s="181" t="str">
        <f>IFERROR(INDEX(Resume!$A$3:$F$218,MATCH(ROW($B8),Resume!$N$3:$N$218,0),MATCH('Commercial Invoice'!D$25,Resume!$A$2:$F$2,0)),"")</f>
        <v>9403.90.5080</v>
      </c>
      <c r="E35" s="181">
        <f>IFERROR(INDEX(Resume!$A$3:$F$218,MATCH(ROW($B8),Resume!$N$3:$N$218,0),MATCH('Commercial Invoice'!E$25,Resume!$A$2:$F$2,0)),"")</f>
        <v>50</v>
      </c>
      <c r="F35" s="181" t="str">
        <f>IFERROR(INDEX(Resume!$A$3:$F$218,MATCH(ROW($B8),Resume!$N$3:$N$218,0),MATCH('Commercial Invoice'!F$25,Resume!$A$2:$F$2,0)),"")</f>
        <v>AP-ICAP</v>
      </c>
      <c r="G35" s="1314" t="str">
        <f>IFERROR(INDEX(Resume!$A$3:$F$218,MATCH(ROW($B8),Resume!$N$3:$N$218,0),MATCH('Commercial Invoice'!G$25,Resume!$A$2:$F$2,0)),"")</f>
        <v>End cap plastic bk</v>
      </c>
      <c r="H35" s="1315"/>
      <c r="I35" s="182">
        <f>IFERROR(INDEX(Resume!$A$3:$F$218,MATCH(ROW($B8),Resume!$N$3:$N$218,0),MATCH('Commercial Invoice'!I$25,Resume!$A$2:$F$2,0)),"")</f>
        <v>0.11</v>
      </c>
      <c r="J35" s="180">
        <f t="shared" si="0"/>
        <v>5.5</v>
      </c>
      <c r="L35" s="5"/>
    </row>
    <row r="36" spans="1:12" ht="13.15" customHeight="1" x14ac:dyDescent="0.2">
      <c r="A36" s="1"/>
      <c r="B36" s="1"/>
      <c r="C36" s="10" t="str">
        <f>IFERROR(INDEX(Resume!$A$3:$F$218,MATCH(ROW($B9),Resume!$N$3:$N$218,0),MATCH('Commercial Invoice'!C$25,Resume!$A$2:$F$2,0)),"")</f>
        <v>CHINA</v>
      </c>
      <c r="D36" s="181" t="str">
        <f>IFERROR(INDEX(Resume!$A$3:$F$218,MATCH(ROW($B9),Resume!$N$3:$N$218,0),MATCH('Commercial Invoice'!D$25,Resume!$A$2:$F$2,0)),"")</f>
        <v>9403.90.8041</v>
      </c>
      <c r="E36" s="181">
        <f>IFERROR(INDEX(Resume!$A$3:$F$218,MATCH(ROW($B9),Resume!$N$3:$N$218,0),MATCH('Commercial Invoice'!E$25,Resume!$A$2:$F$2,0)),"")</f>
        <v>12</v>
      </c>
      <c r="F36" s="181" t="str">
        <f>IFERROR(INDEX(Resume!$A$3:$F$218,MATCH(ROW($B9),Resume!$N$3:$N$218,0),MATCH('Commercial Invoice'!F$25,Resume!$A$2:$F$2,0)),"")</f>
        <v>AF-ILEV</v>
      </c>
      <c r="G36" s="1314" t="str">
        <f>IFERROR(INDEX(Resume!$A$3:$F$218,MATCH(ROW($B9),Resume!$N$3:$N$218,0),MATCH('Commercial Invoice'!G$25,Resume!$A$2:$F$2,0)),"")</f>
        <v>Adjust. inner foot steel zinc</v>
      </c>
      <c r="H36" s="1315"/>
      <c r="I36" s="182">
        <f>IFERROR(INDEX(Resume!$A$3:$F$218,MATCH(ROW($B9),Resume!$N$3:$N$218,0),MATCH('Commercial Invoice'!I$25,Resume!$A$2:$F$2,0)),"")</f>
        <v>2.25</v>
      </c>
      <c r="J36" s="180">
        <f t="shared" si="0"/>
        <v>27</v>
      </c>
    </row>
    <row r="37" spans="1:12" ht="13.15" customHeight="1" x14ac:dyDescent="0.2">
      <c r="A37" s="1"/>
      <c r="B37" s="1"/>
      <c r="C37" s="10" t="str">
        <f>IFERROR(INDEX(Resume!$A$3:$F$218,MATCH(ROW($B10),Resume!$N$3:$N$218,0),MATCH('Commercial Invoice'!C$25,Resume!$A$2:$F$2,0)),"")</f>
        <v>CHINA</v>
      </c>
      <c r="D37" s="181" t="str">
        <f>IFERROR(INDEX(Resume!$A$3:$F$218,MATCH(ROW($B10),Resume!$N$3:$N$218,0),MATCH('Commercial Invoice'!D$25,Resume!$A$2:$F$2,0)),"")</f>
        <v>9403.90.5080</v>
      </c>
      <c r="E37" s="181">
        <f>IFERROR(INDEX(Resume!$A$3:$F$218,MATCH(ROW($B10),Resume!$N$3:$N$218,0),MATCH('Commercial Invoice'!E$25,Resume!$A$2:$F$2,0)),"")</f>
        <v>20</v>
      </c>
      <c r="F37" s="181" t="str">
        <f>IFERROR(INDEX(Resume!$A$3:$F$218,MATCH(ROW($B10),Resume!$N$3:$N$218,0),MATCH('Commercial Invoice'!F$25,Resume!$A$2:$F$2,0)),"")</f>
        <v>AO-SHIM</v>
      </c>
      <c r="G37" s="1314" t="str">
        <f>IFERROR(INDEX(Resume!$A$3:$F$218,MATCH(ROW($B10),Resume!$N$3:$N$218,0),MATCH('Commercial Invoice'!G$25,Resume!$A$2:$F$2,0)),"")</f>
        <v>Leveling shim plastic bk</v>
      </c>
      <c r="H37" s="1315"/>
      <c r="I37" s="182">
        <f>IFERROR(INDEX(Resume!$A$3:$F$218,MATCH(ROW($B10),Resume!$N$3:$N$218,0),MATCH('Commercial Invoice'!I$25,Resume!$A$2:$F$2,0)),"")</f>
        <v>0.15</v>
      </c>
      <c r="J37" s="180">
        <f t="shared" si="0"/>
        <v>3</v>
      </c>
    </row>
    <row r="38" spans="1:12" ht="13.15" customHeight="1" x14ac:dyDescent="0.2">
      <c r="A38" s="1"/>
      <c r="B38" s="1"/>
      <c r="C38" s="10" t="str">
        <f>IFERROR(INDEX(Resume!$A$3:$F$218,MATCH(ROW($B11),Resume!$N$3:$N$218,0),MATCH('Commercial Invoice'!C$25,Resume!$A$2:$F$2,0)),"")</f>
        <v>CHINA</v>
      </c>
      <c r="D38" s="181" t="str">
        <f>IFERROR(INDEX(Resume!$A$3:$F$218,MATCH(ROW($B11),Resume!$N$3:$N$218,0),MATCH('Commercial Invoice'!D$25,Resume!$A$2:$F$2,0)),"")</f>
        <v>9403.90.8041</v>
      </c>
      <c r="E38" s="181">
        <f>IFERROR(INDEX(Resume!$A$3:$F$218,MATCH(ROW($B11),Resume!$N$3:$N$218,0),MATCH('Commercial Invoice'!E$25,Resume!$A$2:$F$2,0)),"")</f>
        <v>10</v>
      </c>
      <c r="F38" s="181" t="str">
        <f>IFERROR(INDEX(Resume!$A$3:$F$218,MATCH(ROW($B11),Resume!$N$3:$N$218,0),MATCH('Commercial Invoice'!F$25,Resume!$A$2:$F$2,0)),"")</f>
        <v>AO-EMT1</v>
      </c>
      <c r="G38" s="1314" t="str">
        <f>IFERROR(INDEX(Resume!$A$3:$F$218,MATCH(ROW($B11),Resume!$N$3:$N$218,0),MATCH('Commercial Invoice'!G$25,Resume!$A$2:$F$2,0)),"")</f>
        <v>Pipe clamp single steel zinc</v>
      </c>
      <c r="H38" s="1315"/>
      <c r="I38" s="182">
        <f>IFERROR(INDEX(Resume!$A$3:$F$218,MATCH(ROW($B11),Resume!$N$3:$N$218,0),MATCH('Commercial Invoice'!I$25,Resume!$A$2:$F$2,0)),"")</f>
        <v>0.18</v>
      </c>
      <c r="J38" s="180">
        <f t="shared" si="0"/>
        <v>1.7999999999999998</v>
      </c>
    </row>
    <row r="39" spans="1:12" ht="13.15" customHeight="1" x14ac:dyDescent="0.2">
      <c r="A39" s="1"/>
      <c r="B39" s="1"/>
      <c r="C39" s="10" t="str">
        <f>IFERROR(INDEX(Resume!$A$3:$F$218,MATCH(ROW($B12),Resume!$N$3:$N$218,0),MATCH('Commercial Invoice'!C$25,Resume!$A$2:$F$2,0)),"")</f>
        <v>CHINA</v>
      </c>
      <c r="D39" s="181" t="str">
        <f>IFERROR(INDEX(Resume!$A$3:$F$218,MATCH(ROW($B12),Resume!$N$3:$N$218,0),MATCH('Commercial Invoice'!D$25,Resume!$A$2:$F$2,0)),"")</f>
        <v>9403.90.8041</v>
      </c>
      <c r="E39" s="181">
        <f>IFERROR(INDEX(Resume!$A$3:$F$218,MATCH(ROW($B12),Resume!$N$3:$N$218,0),MATCH('Commercial Invoice'!E$25,Resume!$A$2:$F$2,0)),"")</f>
        <v>6</v>
      </c>
      <c r="F39" s="181" t="str">
        <f>IFERROR(INDEX(Resume!$A$3:$F$218,MATCH(ROW($B12),Resume!$N$3:$N$218,0),MATCH('Commercial Invoice'!F$25,Resume!$A$2:$F$2,0)),"")</f>
        <v>AO-EMT2</v>
      </c>
      <c r="G39" s="1314" t="str">
        <f>IFERROR(INDEX(Resume!$A$3:$F$218,MATCH(ROW($B12),Resume!$N$3:$N$218,0),MATCH('Commercial Invoice'!G$25,Resume!$A$2:$F$2,0)),"")</f>
        <v>Pipe clamp double steel zinc</v>
      </c>
      <c r="H39" s="1315"/>
      <c r="I39" s="182">
        <f>IFERROR(INDEX(Resume!$A$3:$F$218,MATCH(ROW($B12),Resume!$N$3:$N$218,0),MATCH('Commercial Invoice'!I$25,Resume!$A$2:$F$2,0)),"")</f>
        <v>0.18</v>
      </c>
      <c r="J39" s="180">
        <f t="shared" si="0"/>
        <v>1.08</v>
      </c>
    </row>
    <row r="40" spans="1:12" ht="13.15" customHeight="1" x14ac:dyDescent="0.2">
      <c r="A40" s="1"/>
      <c r="B40" s="1"/>
      <c r="C40" s="10" t="str">
        <f>IFERROR(INDEX(Resume!$A$3:$F$218,MATCH(ROW($B13),Resume!$N$3:$N$218,0),MATCH('Commercial Invoice'!C$25,Resume!$A$2:$F$2,0)),"")</f>
        <v>CHINA</v>
      </c>
      <c r="D40" s="181" t="str">
        <f>IFERROR(INDEX(Resume!$A$3:$F$218,MATCH(ROW($B13),Resume!$N$3:$N$218,0),MATCH('Commercial Invoice'!D$25,Resume!$A$2:$F$2,0)),"")</f>
        <v>9403.90.5080</v>
      </c>
      <c r="E40" s="181">
        <f>IFERROR(INDEX(Resume!$A$3:$F$218,MATCH(ROW($B13),Resume!$N$3:$N$218,0),MATCH('Commercial Invoice'!E$25,Resume!$A$2:$F$2,0)),"")</f>
        <v>2</v>
      </c>
      <c r="F40" s="181" t="str">
        <f>IFERROR(INDEX(Resume!$A$3:$F$218,MATCH(ROW($B13),Resume!$N$3:$N$218,0),MATCH('Commercial Invoice'!F$25,Resume!$A$2:$F$2,0)),"")</f>
        <v>AL-TAG1</v>
      </c>
      <c r="G40" s="1314" t="str">
        <f>IFERROR(INDEX(Resume!$A$3:$F$218,MATCH(ROW($B13),Resume!$N$3:$N$218,0),MATCH('Commercial Invoice'!G$25,Resume!$A$2:$F$2,0)),"")</f>
        <v>Label holder 1X8 plastic clear</v>
      </c>
      <c r="H40" s="1315"/>
      <c r="I40" s="182">
        <f>IFERROR(INDEX(Resume!$A$3:$F$218,MATCH(ROW($B13),Resume!$N$3:$N$218,0),MATCH('Commercial Invoice'!I$25,Resume!$A$2:$F$2,0)),"")</f>
        <v>1.28</v>
      </c>
      <c r="J40" s="180">
        <f t="shared" si="0"/>
        <v>2.56</v>
      </c>
    </row>
    <row r="41" spans="1:12" ht="13.15" customHeight="1" x14ac:dyDescent="0.2">
      <c r="A41" s="1"/>
      <c r="B41" s="1"/>
      <c r="C41" s="10" t="str">
        <f>IFERROR(INDEX(Resume!$A$3:$F$218,MATCH(ROW($B14),Resume!$N$3:$N$218,0),MATCH('Commercial Invoice'!C$25,Resume!$A$2:$F$2,0)),"")</f>
        <v>CHINA</v>
      </c>
      <c r="D41" s="181" t="str">
        <f>IFERROR(INDEX(Resume!$A$3:$F$218,MATCH(ROW($B14),Resume!$N$3:$N$218,0),MATCH('Commercial Invoice'!D$25,Resume!$A$2:$F$2,0)),"")</f>
        <v>7318.15.2095</v>
      </c>
      <c r="E41" s="181">
        <f>IFERROR(INDEX(Resume!$A$3:$F$218,MATCH(ROW($B14),Resume!$N$3:$N$218,0),MATCH('Commercial Invoice'!E$25,Resume!$A$2:$F$2,0)),"")</f>
        <v>140</v>
      </c>
      <c r="F41" s="181" t="str">
        <f>IFERROR(INDEX(Resume!$A$3:$F$218,MATCH(ROW($B14),Resume!$N$3:$N$218,0),MATCH('Commercial Invoice'!F$25,Resume!$A$2:$F$2,0)),"")</f>
        <v>M6-25B</v>
      </c>
      <c r="G41" s="1314" t="str">
        <f>IFERROR(INDEX(Resume!$A$3:$F$218,MATCH(ROW($B14),Resume!$N$3:$N$218,0),MATCH('Commercial Invoice'!G$25,Resume!$A$2:$F$2,0)),"")</f>
        <v>Bolt for joint set black zinc</v>
      </c>
      <c r="H41" s="1315"/>
      <c r="I41" s="182">
        <f>IFERROR(INDEX(Resume!$A$3:$F$218,MATCH(ROW($B14),Resume!$N$3:$N$218,0),MATCH('Commercial Invoice'!I$25,Resume!$A$2:$F$2,0)),"")</f>
        <v>7.0000000000000007E-2</v>
      </c>
      <c r="J41" s="180">
        <f t="shared" si="0"/>
        <v>9.8000000000000007</v>
      </c>
    </row>
    <row r="42" spans="1:12" ht="13.15" customHeight="1" x14ac:dyDescent="0.2">
      <c r="A42" s="1"/>
      <c r="B42" s="1"/>
      <c r="C42" s="10" t="str">
        <f>IFERROR(INDEX(Resume!$A$3:$F$218,MATCH(ROW($B15),Resume!$N$3:$N$218,0),MATCH('Commercial Invoice'!C$25,Resume!$A$2:$F$2,0)),"")</f>
        <v>CHINA</v>
      </c>
      <c r="D42" s="181" t="str">
        <f>IFERROR(INDEX(Resume!$A$3:$F$218,MATCH(ROW($B15),Resume!$N$3:$N$218,0),MATCH('Commercial Invoice'!D$25,Resume!$A$2:$F$2,0)),"")</f>
        <v>7318.15.2095</v>
      </c>
      <c r="E42" s="181">
        <f>IFERROR(INDEX(Resume!$A$3:$F$218,MATCH(ROW($B15),Resume!$N$3:$N$218,0),MATCH('Commercial Invoice'!E$25,Resume!$A$2:$F$2,0)),"")</f>
        <v>140</v>
      </c>
      <c r="F42" s="181" t="str">
        <f>IFERROR(INDEX(Resume!$A$3:$F$218,MATCH(ROW($B15),Resume!$N$3:$N$218,0),MATCH('Commercial Invoice'!F$25,Resume!$A$2:$F$2,0)),"")</f>
        <v>M6-N</v>
      </c>
      <c r="G42" s="1314" t="str">
        <f>IFERROR(INDEX(Resume!$A$3:$F$218,MATCH(ROW($B15),Resume!$N$3:$N$218,0),MATCH('Commercial Invoice'!G$25,Resume!$A$2:$F$2,0)),"")</f>
        <v>Nut for joint set black zinc</v>
      </c>
      <c r="H42" s="1315"/>
      <c r="I42" s="182">
        <f>IFERROR(INDEX(Resume!$A$3:$F$218,MATCH(ROW($B15),Resume!$N$3:$N$218,0),MATCH('Commercial Invoice'!I$25,Resume!$A$2:$F$2,0)),"")</f>
        <v>0.06</v>
      </c>
      <c r="J42" s="180">
        <f t="shared" si="0"/>
        <v>8.4</v>
      </c>
      <c r="L42" s="13"/>
    </row>
    <row r="43" spans="1:12" ht="13.15" customHeight="1" x14ac:dyDescent="0.2">
      <c r="A43" s="1"/>
      <c r="B43" s="1"/>
      <c r="C43" s="10" t="str">
        <f>IFERROR(INDEX(Resume!$A$3:$F$218,MATCH(ROW($B16),Resume!$N$3:$N$218,0),MATCH('Commercial Invoice'!C$25,Resume!$A$2:$F$2,0)),"")</f>
        <v>CHINA</v>
      </c>
      <c r="D43" s="181" t="str">
        <f>IFERROR(INDEX(Resume!$A$3:$F$218,MATCH(ROW($B16),Resume!$N$3:$N$218,0),MATCH('Commercial Invoice'!D$25,Resume!$A$2:$F$2,0)),"")</f>
        <v>7318.15.2010</v>
      </c>
      <c r="E43" s="181">
        <f>IFERROR(INDEX(Resume!$A$3:$F$218,MATCH(ROW($B16),Resume!$N$3:$N$218,0),MATCH('Commercial Invoice'!E$25,Resume!$A$2:$F$2,0)),"")</f>
        <v>100</v>
      </c>
      <c r="F43" s="181" t="str">
        <f>IFERROR(INDEX(Resume!$A$3:$F$218,MATCH(ROW($B16),Resume!$N$3:$N$218,0),MATCH('Commercial Invoice'!F$25,Resume!$A$2:$F$2,0)),"")</f>
        <v>F-A85/8</v>
      </c>
      <c r="G43" s="1314" t="str">
        <f>IFERROR(INDEX(Resume!$A$3:$F$218,MATCH(ROW($B16),Resume!$N$3:$N$218,0),MATCH('Commercial Invoice'!G$25,Resume!$A$2:$F$2,0)),"")</f>
        <v xml:space="preserve">100x Drilling screws #8 X 5/8" </v>
      </c>
      <c r="H43" s="1315"/>
      <c r="I43" s="182">
        <f>IFERROR(INDEX(Resume!$A$3:$F$218,MATCH(ROW($B16),Resume!$N$3:$N$218,0),MATCH('Commercial Invoice'!I$25,Resume!$A$2:$F$2,0)),"")</f>
        <v>0.05</v>
      </c>
      <c r="J43" s="180">
        <f t="shared" si="0"/>
        <v>5</v>
      </c>
    </row>
    <row r="44" spans="1:12" ht="13.15" customHeight="1" x14ac:dyDescent="0.2">
      <c r="A44" s="1"/>
      <c r="B44" s="1"/>
      <c r="C44" s="10" t="str">
        <f>IFERROR(INDEX(Resume!$A$3:$F$218,MATCH(ROW($B17),Resume!$N$3:$N$218,0),MATCH('Commercial Invoice'!C$25,Resume!$A$2:$F$2,0)),"")</f>
        <v>CHINA</v>
      </c>
      <c r="D44" s="181" t="str">
        <f>IFERROR(INDEX(Resume!$A$3:$F$218,MATCH(ROW($B17),Resume!$N$3:$N$218,0),MATCH('Commercial Invoice'!D$25,Resume!$A$2:$F$2,0)),"")</f>
        <v>8302.20.0000</v>
      </c>
      <c r="E44" s="181">
        <f>IFERROR(INDEX(Resume!$A$3:$F$218,MATCH(ROW($B17),Resume!$N$3:$N$218,0),MATCH('Commercial Invoice'!E$25,Resume!$A$2:$F$2,0)),"")</f>
        <v>4</v>
      </c>
      <c r="F44" s="181" t="str">
        <f>IFERROR(INDEX(Resume!$A$3:$F$218,MATCH(ROW($B17),Resume!$N$3:$N$218,0),MATCH('Commercial Invoice'!F$25,Resume!$A$2:$F$2,0)),"")</f>
        <v>W-3ESB</v>
      </c>
      <c r="G44" s="1314" t="str">
        <f>IFERROR(INDEX(Resume!$A$3:$F$218,MATCH(ROW($B17),Resume!$N$3:$N$218,0),MATCH('Commercial Invoice'!G$25,Resume!$A$2:$F$2,0)),"")</f>
        <v>3'' Swivel stem caster brake</v>
      </c>
      <c r="H44" s="1315"/>
      <c r="I44" s="182">
        <f>IFERROR(INDEX(Resume!$A$3:$F$218,MATCH(ROW($B17),Resume!$N$3:$N$218,0),MATCH('Commercial Invoice'!I$25,Resume!$A$2:$F$2,0)),"")</f>
        <v>9</v>
      </c>
      <c r="J44" s="180">
        <f t="shared" si="0"/>
        <v>36</v>
      </c>
    </row>
    <row r="45" spans="1:12" ht="13.15" customHeight="1" x14ac:dyDescent="0.2">
      <c r="A45" s="1"/>
      <c r="B45" s="1"/>
      <c r="C45" s="10" t="str">
        <f>IFERROR(INDEX(Resume!$A$3:$F$218,MATCH(ROW($B18),Resume!$N$3:$N$218,0),MATCH('Commercial Invoice'!C$25,Resume!$A$2:$F$2,0)),"")</f>
        <v>CHINA</v>
      </c>
      <c r="D45" s="181" t="str">
        <f>IFERROR(INDEX(Resume!$A$3:$F$218,MATCH(ROW($B18),Resume!$N$3:$N$218,0),MATCH('Commercial Invoice'!D$25,Resume!$A$2:$F$2,0)),"")</f>
        <v>8302.20.0000</v>
      </c>
      <c r="E45" s="181">
        <f>IFERROR(INDEX(Resume!$A$3:$F$218,MATCH(ROW($B18),Resume!$N$3:$N$218,0),MATCH('Commercial Invoice'!E$25,Resume!$A$2:$F$2,0)),"")</f>
        <v>2</v>
      </c>
      <c r="F45" s="181" t="str">
        <f>IFERROR(INDEX(Resume!$A$3:$F$218,MATCH(ROW($B18),Resume!$N$3:$N$218,0),MATCH('Commercial Invoice'!F$25,Resume!$A$2:$F$2,0)),"")</f>
        <v>W-4ESB</v>
      </c>
      <c r="G45" s="1314" t="str">
        <f>IFERROR(INDEX(Resume!$A$3:$F$218,MATCH(ROW($B18),Resume!$N$3:$N$218,0),MATCH('Commercial Invoice'!G$25,Resume!$A$2:$F$2,0)),"")</f>
        <v>4'' Swivel caster brake stem</v>
      </c>
      <c r="H45" s="1315"/>
      <c r="I45" s="182">
        <f>IFERROR(INDEX(Resume!$A$3:$F$218,MATCH(ROW($B18),Resume!$N$3:$N$218,0),MATCH('Commercial Invoice'!I$25,Resume!$A$2:$F$2,0)),"")</f>
        <v>10</v>
      </c>
      <c r="J45" s="180">
        <f t="shared" si="0"/>
        <v>20</v>
      </c>
    </row>
    <row r="46" spans="1:12" ht="13.15" customHeight="1" x14ac:dyDescent="0.2">
      <c r="A46" s="1"/>
      <c r="B46" s="1"/>
      <c r="C46" s="10" t="str">
        <f>IFERROR(INDEX(Resume!$A$3:$F$218,MATCH(ROW($B19),Resume!$N$3:$N$218,0),MATCH('Commercial Invoice'!C$25,Resume!$A$2:$F$2,0)),"")</f>
        <v>CHINA</v>
      </c>
      <c r="D46" s="181" t="str">
        <f>IFERROR(INDEX(Resume!$A$3:$F$218,MATCH(ROW($B19),Resume!$N$3:$N$218,0),MATCH('Commercial Invoice'!D$25,Resume!$A$2:$F$2,0)),"")</f>
        <v>8302.20.0000</v>
      </c>
      <c r="E46" s="181">
        <f>IFERROR(INDEX(Resume!$A$3:$F$218,MATCH(ROW($B19),Resume!$N$3:$N$218,0),MATCH('Commercial Invoice'!E$25,Resume!$A$2:$F$2,0)),"")</f>
        <v>2</v>
      </c>
      <c r="F46" s="181" t="str">
        <f>IFERROR(INDEX(Resume!$A$3:$F$218,MATCH(ROW($B19),Resume!$N$3:$N$218,0),MATCH('Commercial Invoice'!F$25,Resume!$A$2:$F$2,0)),"")</f>
        <v>W-4EF</v>
      </c>
      <c r="G46" s="1314" t="str">
        <f>IFERROR(INDEX(Resume!$A$3:$F$218,MATCH(ROW($B19),Resume!$N$3:$N$218,0),MATCH('Commercial Invoice'!G$25,Resume!$A$2:$F$2,0)),"")</f>
        <v>4'' Rigid stem caster</v>
      </c>
      <c r="H46" s="1315"/>
      <c r="I46" s="182">
        <f>IFERROR(INDEX(Resume!$A$3:$F$218,MATCH(ROW($B19),Resume!$N$3:$N$218,0),MATCH('Commercial Invoice'!I$25,Resume!$A$2:$F$2,0)),"")</f>
        <v>13</v>
      </c>
      <c r="J46" s="180">
        <f t="shared" si="0"/>
        <v>26</v>
      </c>
    </row>
    <row r="47" spans="1:12" ht="13.15" customHeight="1" x14ac:dyDescent="0.2">
      <c r="A47" s="1"/>
      <c r="B47" s="1"/>
      <c r="C47" s="10" t="str">
        <f>IFERROR(INDEX(Resume!$A$3:$F$218,MATCH(ROW($B20),Resume!$N$3:$N$218,0),MATCH('Commercial Invoice'!C$25,Resume!$A$2:$F$2,0)),"")</f>
        <v/>
      </c>
      <c r="D47" s="181" t="str">
        <f>IFERROR(INDEX(Resume!$A$3:$F$218,MATCH(ROW($B20),Resume!$N$3:$N$218,0),MATCH('Commercial Invoice'!D$25,Resume!$A$2:$F$2,0)),"")</f>
        <v/>
      </c>
      <c r="E47" s="181" t="str">
        <f>IFERROR(INDEX(Resume!$A$3:$F$218,MATCH(ROW($B20),Resume!$N$3:$N$218,0),MATCH('Commercial Invoice'!E$25,Resume!$A$2:$F$2,0)),"")</f>
        <v/>
      </c>
      <c r="F47" s="181" t="str">
        <f>IFERROR(INDEX(Resume!$A$3:$F$218,MATCH(ROW($B20),Resume!$N$3:$N$218,0),MATCH('Commercial Invoice'!F$25,Resume!$A$2:$F$2,0)),"")</f>
        <v/>
      </c>
      <c r="G47" s="1314" t="str">
        <f>IFERROR(INDEX(Resume!$A$3:$F$218,MATCH(ROW($B20),Resume!$N$3:$N$218,0),MATCH('Commercial Invoice'!G$25,Resume!$A$2:$F$2,0)),"")</f>
        <v/>
      </c>
      <c r="H47" s="1315"/>
      <c r="I47" s="182" t="str">
        <f>IFERROR(INDEX(Resume!$A$3:$F$218,MATCH(ROW($B20),Resume!$N$3:$N$218,0),MATCH('Commercial Invoice'!I$25,Resume!$A$2:$F$2,0)),"")</f>
        <v/>
      </c>
      <c r="J47" s="180" t="str">
        <f t="shared" si="0"/>
        <v/>
      </c>
    </row>
    <row r="48" spans="1:12" ht="13.15" customHeight="1" x14ac:dyDescent="0.2">
      <c r="A48" s="1"/>
      <c r="B48" s="1"/>
      <c r="C48" s="10" t="str">
        <f>IFERROR(INDEX(Resume!$A$3:$F$218,MATCH(ROW($B21),Resume!$N$3:$N$218,0),MATCH('Commercial Invoice'!C$25,Resume!$A$2:$F$2,0)),"")</f>
        <v/>
      </c>
      <c r="D48" s="181" t="str">
        <f>IFERROR(INDEX(Resume!$A$3:$F$218,MATCH(ROW($B21),Resume!$N$3:$N$218,0),MATCH('Commercial Invoice'!D$25,Resume!$A$2:$F$2,0)),"")</f>
        <v/>
      </c>
      <c r="E48" s="181" t="str">
        <f>IFERROR(INDEX(Resume!$A$3:$F$218,MATCH(ROW($B21),Resume!$N$3:$N$218,0),MATCH('Commercial Invoice'!E$25,Resume!$A$2:$F$2,0)),"")</f>
        <v/>
      </c>
      <c r="F48" s="181" t="str">
        <f>IFERROR(INDEX(Resume!$A$3:$F$218,MATCH(ROW($B21),Resume!$N$3:$N$218,0),MATCH('Commercial Invoice'!F$25,Resume!$A$2:$F$2,0)),"")</f>
        <v/>
      </c>
      <c r="G48" s="1314" t="str">
        <f>IFERROR(INDEX(Resume!$A$3:$F$218,MATCH(ROW($B21),Resume!$N$3:$N$218,0),MATCH('Commercial Invoice'!G$25,Resume!$A$2:$F$2,0)),"")</f>
        <v/>
      </c>
      <c r="H48" s="1315"/>
      <c r="I48" s="182" t="str">
        <f>IFERROR(INDEX(Resume!$A$3:$F$218,MATCH(ROW($B21),Resume!$N$3:$N$218,0),MATCH('Commercial Invoice'!I$25,Resume!$A$2:$F$2,0)),"")</f>
        <v/>
      </c>
      <c r="J48" s="180" t="str">
        <f t="shared" si="0"/>
        <v/>
      </c>
    </row>
    <row r="49" spans="1:13" ht="13.15" customHeight="1" x14ac:dyDescent="0.2">
      <c r="A49" s="1"/>
      <c r="B49" s="1"/>
      <c r="C49" s="10" t="str">
        <f>IFERROR(INDEX(Resume!$A$3:$F$218,MATCH(ROW($B22),Resume!$N$3:$N$218,0),MATCH('Commercial Invoice'!C$25,Resume!$A$2:$F$2,0)),"")</f>
        <v/>
      </c>
      <c r="D49" s="181" t="str">
        <f>IFERROR(INDEX(Resume!$A$3:$F$218,MATCH(ROW($B22),Resume!$N$3:$N$218,0),MATCH('Commercial Invoice'!D$25,Resume!$A$2:$F$2,0)),"")</f>
        <v/>
      </c>
      <c r="E49" s="181" t="str">
        <f>IFERROR(INDEX(Resume!$A$3:$F$218,MATCH(ROW($B22),Resume!$N$3:$N$218,0),MATCH('Commercial Invoice'!E$25,Resume!$A$2:$F$2,0)),"")</f>
        <v/>
      </c>
      <c r="F49" s="181" t="str">
        <f>IFERROR(INDEX(Resume!$A$3:$F$218,MATCH(ROW($B22),Resume!$N$3:$N$218,0),MATCH('Commercial Invoice'!F$25,Resume!$A$2:$F$2,0)),"")</f>
        <v/>
      </c>
      <c r="G49" s="1314" t="str">
        <f>IFERROR(INDEX(Resume!$A$3:$F$218,MATCH(ROW($B22),Resume!$N$3:$N$218,0),MATCH('Commercial Invoice'!G$25,Resume!$A$2:$F$2,0)),"")</f>
        <v/>
      </c>
      <c r="H49" s="1315"/>
      <c r="I49" s="182" t="str">
        <f>IFERROR(INDEX(Resume!$A$3:$F$218,MATCH(ROW($B22),Resume!$N$3:$N$218,0),MATCH('Commercial Invoice'!I$25,Resume!$A$2:$F$2,0)),"")</f>
        <v/>
      </c>
      <c r="J49" s="180" t="str">
        <f t="shared" si="0"/>
        <v/>
      </c>
      <c r="L49" s="13"/>
    </row>
    <row r="50" spans="1:13" ht="13.15" customHeight="1" x14ac:dyDescent="0.2">
      <c r="A50" s="1"/>
      <c r="B50" s="1"/>
      <c r="C50" s="10" t="str">
        <f>IFERROR(INDEX(Resume!$A$3:$F$218,MATCH(ROW($B23),Resume!$N$3:$N$218,0),MATCH('Commercial Invoice'!C$25,Resume!$A$2:$F$2,0)),"")</f>
        <v/>
      </c>
      <c r="D50" s="181" t="str">
        <f>IFERROR(INDEX(Resume!$A$3:$F$218,MATCH(ROW($B23),Resume!$N$3:$N$218,0),MATCH('Commercial Invoice'!D$25,Resume!$A$2:$F$2,0)),"")</f>
        <v/>
      </c>
      <c r="E50" s="181" t="str">
        <f>IFERROR(INDEX(Resume!$A$3:$F$218,MATCH(ROW($B23),Resume!$N$3:$N$218,0),MATCH('Commercial Invoice'!E$25,Resume!$A$2:$F$2,0)),"")</f>
        <v/>
      </c>
      <c r="F50" s="181" t="str">
        <f>IFERROR(INDEX(Resume!$A$3:$F$218,MATCH(ROW($B23),Resume!$N$3:$N$218,0),MATCH('Commercial Invoice'!F$25,Resume!$A$2:$F$2,0)),"")</f>
        <v/>
      </c>
      <c r="G50" s="1314" t="str">
        <f>IFERROR(INDEX(Resume!$A$3:$F$218,MATCH(ROW($B23),Resume!$N$3:$N$218,0),MATCH('Commercial Invoice'!G$25,Resume!$A$2:$F$2,0)),"")</f>
        <v/>
      </c>
      <c r="H50" s="1315"/>
      <c r="I50" s="182" t="str">
        <f>IFERROR(INDEX(Resume!$A$3:$F$218,MATCH(ROW($B23),Resume!$N$3:$N$218,0),MATCH('Commercial Invoice'!I$25,Resume!$A$2:$F$2,0)),"")</f>
        <v/>
      </c>
      <c r="J50" s="180" t="str">
        <f t="shared" si="0"/>
        <v/>
      </c>
      <c r="L50" s="13"/>
    </row>
    <row r="51" spans="1:13" ht="13.15" customHeight="1" x14ac:dyDescent="0.2">
      <c r="A51" s="1"/>
      <c r="B51" s="1"/>
      <c r="C51" s="10" t="str">
        <f>IFERROR(INDEX(Resume!$A$3:$F$218,MATCH(ROW($B24),Resume!$N$3:$N$218,0),MATCH('Commercial Invoice'!C$25,Resume!$A$2:$F$2,0)),"")</f>
        <v/>
      </c>
      <c r="D51" s="181" t="str">
        <f>IFERROR(INDEX(Resume!$A$3:$F$218,MATCH(ROW($B24),Resume!$N$3:$N$218,0),MATCH('Commercial Invoice'!D$25,Resume!$A$2:$F$2,0)),"")</f>
        <v/>
      </c>
      <c r="E51" s="181" t="str">
        <f>IFERROR(INDEX(Resume!$A$3:$F$218,MATCH(ROW($B24),Resume!$N$3:$N$218,0),MATCH('Commercial Invoice'!E$25,Resume!$A$2:$F$2,0)),"")</f>
        <v/>
      </c>
      <c r="F51" s="181" t="str">
        <f>IFERROR(INDEX(Resume!$A$3:$F$218,MATCH(ROW($B24),Resume!$N$3:$N$218,0),MATCH('Commercial Invoice'!F$25,Resume!$A$2:$F$2,0)),"")</f>
        <v/>
      </c>
      <c r="G51" s="1314" t="str">
        <f>IFERROR(INDEX(Resume!$A$3:$F$218,MATCH(ROW($B24),Resume!$N$3:$N$218,0),MATCH('Commercial Invoice'!G$25,Resume!$A$2:$F$2,0)),"")</f>
        <v/>
      </c>
      <c r="H51" s="1315"/>
      <c r="I51" s="182" t="str">
        <f>IFERROR(INDEX(Resume!$A$3:$F$218,MATCH(ROW($B24),Resume!$N$3:$N$218,0),MATCH('Commercial Invoice'!I$25,Resume!$A$2:$F$2,0)),"")</f>
        <v/>
      </c>
      <c r="J51" s="180" t="str">
        <f t="shared" si="0"/>
        <v/>
      </c>
      <c r="L51" s="13"/>
    </row>
    <row r="52" spans="1:13" ht="13.15" customHeight="1" x14ac:dyDescent="0.2">
      <c r="A52" s="1"/>
      <c r="B52" s="1"/>
      <c r="C52" s="10" t="str">
        <f>IFERROR(INDEX(Resume!$A$3:$F$218,MATCH(ROW($B25),Resume!$N$3:$N$218,0),MATCH('Commercial Invoice'!C$25,Resume!$A$2:$F$2,0)),"")</f>
        <v/>
      </c>
      <c r="D52" s="181" t="str">
        <f>IFERROR(INDEX(Resume!$A$3:$F$218,MATCH(ROW($B25),Resume!$N$3:$N$218,0),MATCH('Commercial Invoice'!D$25,Resume!$A$2:$F$2,0)),"")</f>
        <v/>
      </c>
      <c r="E52" s="181" t="str">
        <f>IFERROR(INDEX(Resume!$A$3:$F$218,MATCH(ROW($B25),Resume!$N$3:$N$218,0),MATCH('Commercial Invoice'!E$25,Resume!$A$2:$F$2,0)),"")</f>
        <v/>
      </c>
      <c r="F52" s="181" t="str">
        <f>IFERROR(INDEX(Resume!$A$3:$F$218,MATCH(ROW($B25),Resume!$N$3:$N$218,0),MATCH('Commercial Invoice'!F$25,Resume!$A$2:$F$2,0)),"")</f>
        <v/>
      </c>
      <c r="G52" s="1314" t="str">
        <f>IFERROR(INDEX(Resume!$A$3:$F$218,MATCH(ROW($B25),Resume!$N$3:$N$218,0),MATCH('Commercial Invoice'!G$25,Resume!$A$2:$F$2,0)),"")</f>
        <v/>
      </c>
      <c r="H52" s="1315"/>
      <c r="I52" s="182" t="str">
        <f>IFERROR(INDEX(Resume!$A$3:$F$218,MATCH(ROW($B25),Resume!$N$3:$N$218,0),MATCH('Commercial Invoice'!I$25,Resume!$A$2:$F$2,0)),"")</f>
        <v/>
      </c>
      <c r="J52" s="180" t="str">
        <f t="shared" si="0"/>
        <v/>
      </c>
      <c r="L52" s="13"/>
    </row>
    <row r="53" spans="1:13" ht="13.15" customHeight="1" x14ac:dyDescent="0.2">
      <c r="A53" s="1"/>
      <c r="B53" s="1"/>
      <c r="C53" s="10" t="str">
        <f>IFERROR(INDEX(Resume!$A$3:$F$218,MATCH(ROW($B26),Resume!$N$3:$N$218,0),MATCH('Commercial Invoice'!C$25,Resume!$A$2:$F$2,0)),"")</f>
        <v/>
      </c>
      <c r="D53" s="181" t="str">
        <f>IFERROR(INDEX(Resume!$A$3:$F$218,MATCH(ROW($B26),Resume!$N$3:$N$218,0),MATCH('Commercial Invoice'!D$25,Resume!$A$2:$F$2,0)),"")</f>
        <v/>
      </c>
      <c r="E53" s="181" t="str">
        <f>IFERROR(INDEX(Resume!$A$3:$F$218,MATCH(ROW($B26),Resume!$N$3:$N$218,0),MATCH('Commercial Invoice'!E$25,Resume!$A$2:$F$2,0)),"")</f>
        <v/>
      </c>
      <c r="F53" s="181" t="str">
        <f>IFERROR(INDEX(Resume!$A$3:$F$218,MATCH(ROW($B26),Resume!$N$3:$N$218,0),MATCH('Commercial Invoice'!F$25,Resume!$A$2:$F$2,0)),"")</f>
        <v/>
      </c>
      <c r="G53" s="1314" t="str">
        <f>IFERROR(INDEX(Resume!$A$3:$F$218,MATCH(ROW($B26),Resume!$N$3:$N$218,0),MATCH('Commercial Invoice'!G$25,Resume!$A$2:$F$2,0)),"")</f>
        <v/>
      </c>
      <c r="H53" s="1315"/>
      <c r="I53" s="182" t="str">
        <f>IFERROR(INDEX(Resume!$A$3:$F$218,MATCH(ROW($B26),Resume!$N$3:$N$218,0),MATCH('Commercial Invoice'!I$25,Resume!$A$2:$F$2,0)),"")</f>
        <v/>
      </c>
      <c r="J53" s="180" t="str">
        <f t="shared" si="0"/>
        <v/>
      </c>
    </row>
    <row r="54" spans="1:13" ht="13.15" customHeight="1" x14ac:dyDescent="0.2">
      <c r="A54" s="1"/>
      <c r="B54" s="1"/>
      <c r="C54" s="10" t="str">
        <f>IFERROR(INDEX(Resume!$A$3:$F$218,MATCH(ROW($B27),Resume!$N$3:$N$218,0),MATCH('Commercial Invoice'!C$25,Resume!$A$2:$F$2,0)),"")</f>
        <v/>
      </c>
      <c r="D54" s="181" t="str">
        <f>IFERROR(INDEX(Resume!$A$3:$F$218,MATCH(ROW($B27),Resume!$N$3:$N$218,0),MATCH('Commercial Invoice'!D$25,Resume!$A$2:$F$2,0)),"")</f>
        <v/>
      </c>
      <c r="E54" s="181" t="str">
        <f>IFERROR(INDEX(Resume!$A$3:$F$218,MATCH(ROW($B27),Resume!$N$3:$N$218,0),MATCH('Commercial Invoice'!E$25,Resume!$A$2:$F$2,0)),"")</f>
        <v/>
      </c>
      <c r="F54" s="181" t="str">
        <f>IFERROR(INDEX(Resume!$A$3:$F$218,MATCH(ROW($B27),Resume!$N$3:$N$218,0),MATCH('Commercial Invoice'!F$25,Resume!$A$2:$F$2,0)),"")</f>
        <v/>
      </c>
      <c r="G54" s="1314" t="str">
        <f>IFERROR(INDEX(Resume!$A$3:$F$218,MATCH(ROW($B27),Resume!$N$3:$N$218,0),MATCH('Commercial Invoice'!G$25,Resume!$A$2:$F$2,0)),"")</f>
        <v/>
      </c>
      <c r="H54" s="1315"/>
      <c r="I54" s="182" t="str">
        <f>IFERROR(INDEX(Resume!$A$3:$F$218,MATCH(ROW($B27),Resume!$N$3:$N$218,0),MATCH('Commercial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 x14ac:dyDescent="0.2">
      <c r="A55" s="1"/>
      <c r="B55" s="1"/>
      <c r="C55" s="10" t="str">
        <f>IFERROR(INDEX(Resume!$A$3:$F$218,MATCH(ROW($B28),Resume!$N$3:$N$218,0),MATCH('Commercial Invoice'!C$25,Resume!$A$2:$F$2,0)),"")</f>
        <v/>
      </c>
      <c r="D55" s="181" t="str">
        <f>IFERROR(INDEX(Resume!$A$3:$F$218,MATCH(ROW($B28),Resume!$N$3:$N$218,0),MATCH('Commercial Invoice'!D$25,Resume!$A$2:$F$2,0)),"")</f>
        <v/>
      </c>
      <c r="E55" s="181" t="str">
        <f>IFERROR(INDEX(Resume!$A$3:$F$218,MATCH(ROW($B28),Resume!$N$3:$N$218,0),MATCH('Commercial Invoice'!E$25,Resume!$A$2:$F$2,0)),"")</f>
        <v/>
      </c>
      <c r="F55" s="181" t="str">
        <f>IFERROR(INDEX(Resume!$A$3:$F$218,MATCH(ROW($B28),Resume!$N$3:$N$218,0),MATCH('Commercial Invoice'!F$25,Resume!$A$2:$F$2,0)),"")</f>
        <v/>
      </c>
      <c r="G55" s="1314" t="str">
        <f>IFERROR(INDEX(Resume!$A$3:$F$218,MATCH(ROW($B28),Resume!$N$3:$N$218,0),MATCH('Commercial Invoice'!G$25,Resume!$A$2:$F$2,0)),"")</f>
        <v/>
      </c>
      <c r="H55" s="1315"/>
      <c r="I55" s="182" t="str">
        <f>IFERROR(INDEX(Resume!$A$3:$F$218,MATCH(ROW($B28),Resume!$N$3:$N$218,0),MATCH('Commercial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 x14ac:dyDescent="0.2">
      <c r="A56" s="1"/>
      <c r="B56" s="1"/>
      <c r="C56" s="10" t="str">
        <f>IFERROR(INDEX(Resume!$A$3:$F$218,MATCH(ROW($B29),Resume!$N$3:$N$218,0),MATCH('Commercial Invoice'!C$25,Resume!$A$2:$F$2,0)),"")</f>
        <v/>
      </c>
      <c r="D56" s="181" t="str">
        <f>IFERROR(INDEX(Resume!$A$3:$F$218,MATCH(ROW($B29),Resume!$N$3:$N$218,0),MATCH('Commercial Invoice'!D$25,Resume!$A$2:$F$2,0)),"")</f>
        <v/>
      </c>
      <c r="E56" s="181" t="str">
        <f>IFERROR(INDEX(Resume!$A$3:$F$218,MATCH(ROW($B29),Resume!$N$3:$N$218,0),MATCH('Commercial Invoice'!E$25,Resume!$A$2:$F$2,0)),"")</f>
        <v/>
      </c>
      <c r="F56" s="181" t="str">
        <f>IFERROR(INDEX(Resume!$A$3:$F$218,MATCH(ROW($B29),Resume!$N$3:$N$218,0),MATCH('Commercial Invoice'!F$25,Resume!$A$2:$F$2,0)),"")</f>
        <v/>
      </c>
      <c r="G56" s="1314" t="str">
        <f>IFERROR(INDEX(Resume!$A$3:$F$218,MATCH(ROW($B29),Resume!$N$3:$N$218,0),MATCH('Commercial Invoice'!G$25,Resume!$A$2:$F$2,0)),"")</f>
        <v/>
      </c>
      <c r="H56" s="1315"/>
      <c r="I56" s="182" t="str">
        <f>IFERROR(INDEX(Resume!$A$3:$F$218,MATCH(ROW($B29),Resume!$N$3:$N$218,0),MATCH('Commercial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 x14ac:dyDescent="0.2">
      <c r="A57" s="1"/>
      <c r="B57" s="1"/>
      <c r="C57" s="10" t="str">
        <f>IFERROR(INDEX(Resume!$A$3:$F$218,MATCH(ROW($B29),Resume!$N$3:$N$218,0),MATCH('Commercial Invoice'!C$25,Resume!$A$2:$F$2,0)),"")</f>
        <v/>
      </c>
      <c r="D57" s="181" t="str">
        <f>IFERROR(INDEX(Resume!$A$3:$F$218,MATCH(ROW($B29),Resume!$N$3:$N$218,0),MATCH('Commercial Invoice'!D$25,Resume!$A$2:$F$2,0)),"")</f>
        <v/>
      </c>
      <c r="E57" s="181" t="str">
        <f>IFERROR(INDEX(Resume!$A$3:$F$218,MATCH(ROW($B29),Resume!$N$3:$N$218,0),MATCH('Commercial Invoice'!E$25,Resume!$A$2:$F$2,0)),"")</f>
        <v/>
      </c>
      <c r="F57" s="181" t="str">
        <f>IFERROR(INDEX(Resume!$A$3:$F$218,MATCH(ROW($B29),Resume!$N$3:$N$218,0),MATCH('Commercial Invoice'!F$25,Resume!$A$2:$F$2,0)),"")</f>
        <v/>
      </c>
      <c r="G57" s="1314" t="str">
        <f>IFERROR(INDEX(Resume!$A$3:$F$218,MATCH(ROW($B29),Resume!$N$3:$N$218,0),MATCH('Commercial Invoice'!G$25,Resume!$A$2:$F$2,0)),"")</f>
        <v/>
      </c>
      <c r="H57" s="1315"/>
      <c r="I57" s="182" t="str">
        <f>IFERROR(INDEX(Resume!$A$3:$F$218,MATCH(ROW($B29),Resume!$N$3:$N$218,0),MATCH('Commercial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 x14ac:dyDescent="0.2">
      <c r="A58" s="1"/>
      <c r="B58" s="1"/>
      <c r="C58" s="10" t="str">
        <f>IFERROR(INDEX(Resume!$A$3:$F$218,MATCH(ROW($B30),Resume!$N$3:$N$218,0),MATCH('Commercial Invoice'!C$25,Resume!$A$2:$F$2,0)),"")</f>
        <v/>
      </c>
      <c r="D58" s="181" t="str">
        <f>IFERROR(INDEX(Resume!$A$3:$F$218,MATCH(ROW($B30),Resume!$N$3:$N$218,0),MATCH('Commercial Invoice'!D$25,Resume!$A$2:$F$2,0)),"")</f>
        <v/>
      </c>
      <c r="E58" s="181" t="str">
        <f>IFERROR(INDEX(Resume!$A$3:$F$218,MATCH(ROW($B30),Resume!$N$3:$N$218,0),MATCH('Commercial Invoice'!E$25,Resume!$A$2:$F$2,0)),"")</f>
        <v/>
      </c>
      <c r="F58" s="181" t="str">
        <f>IFERROR(INDEX(Resume!$A$3:$F$218,MATCH(ROW($B30),Resume!$N$3:$N$218,0),MATCH('Commercial Invoice'!F$25,Resume!$A$2:$F$2,0)),"")</f>
        <v/>
      </c>
      <c r="G58" s="1314" t="str">
        <f>IFERROR(INDEX(Resume!$A$3:$F$218,MATCH(ROW($B30),Resume!$N$3:$N$218,0),MATCH('Commercial Invoice'!G$25,Resume!$A$2:$F$2,0)),"")</f>
        <v/>
      </c>
      <c r="H58" s="1315"/>
      <c r="I58" s="182" t="str">
        <f>IFERROR(INDEX(Resume!$A$3:$F$218,MATCH(ROW($B30),Resume!$N$3:$N$218,0),MATCH('Commercial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 x14ac:dyDescent="0.2">
      <c r="A59" s="1"/>
      <c r="B59" s="1"/>
      <c r="C59" s="10" t="str">
        <f>IFERROR(INDEX(Resume!$A$3:$F$218,MATCH(ROW($B29),Resume!$N$3:$N$218,0),MATCH('Commercial Invoice'!C$25,Resume!$A$2:$F$2,0)),"")</f>
        <v/>
      </c>
      <c r="D59" s="181" t="str">
        <f>IFERROR(INDEX(Resume!$A$3:$F$218,MATCH(ROW($B29),Resume!$N$3:$N$218,0),MATCH('Commercial Invoice'!D$25,Resume!$A$2:$F$2,0)),"")</f>
        <v/>
      </c>
      <c r="E59" s="181" t="str">
        <f>IFERROR(INDEX(Resume!$A$3:$F$218,MATCH(ROW($B29),Resume!$N$3:$N$218,0),MATCH('Commercial Invoice'!E$25,Resume!$A$2:$F$2,0)),"")</f>
        <v/>
      </c>
      <c r="F59" s="181" t="str">
        <f>IFERROR(INDEX(Resume!$A$3:$F$218,MATCH(ROW($B29),Resume!$N$3:$N$218,0),MATCH('Commercial Invoice'!F$25,Resume!$A$2:$F$2,0)),"")</f>
        <v/>
      </c>
      <c r="G59" s="1314" t="str">
        <f>IFERROR(INDEX(Resume!$A$3:$F$218,MATCH(ROW($B29),Resume!$N$3:$N$218,0),MATCH('Commercial Invoice'!G$25,Resume!$A$2:$F$2,0)),"")</f>
        <v/>
      </c>
      <c r="H59" s="1315"/>
      <c r="I59" s="182" t="str">
        <f>IFERROR(INDEX(Resume!$A$3:$F$218,MATCH(ROW($B29),Resume!$N$3:$N$218,0),MATCH('Commercial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 x14ac:dyDescent="0.2">
      <c r="A60" s="1"/>
      <c r="B60" s="1"/>
      <c r="C60" s="10" t="str">
        <f>IFERROR(INDEX(Resume!$A$3:$F$218,MATCH(ROW($B30),Resume!$N$3:$N$218,0),MATCH('Commercial Invoice'!C$25,Resume!$A$2:$F$2,0)),"")</f>
        <v/>
      </c>
      <c r="D60" s="181" t="str">
        <f>IFERROR(INDEX(Resume!$A$3:$F$218,MATCH(ROW($B30),Resume!$N$3:$N$218,0),MATCH('Commercial Invoice'!D$25,Resume!$A$2:$F$2,0)),"")</f>
        <v/>
      </c>
      <c r="E60" s="181" t="str">
        <f>IFERROR(INDEX(Resume!$A$3:$F$218,MATCH(ROW($B30),Resume!$N$3:$N$218,0),MATCH('Commercial Invoice'!E$25,Resume!$A$2:$F$2,0)),"")</f>
        <v/>
      </c>
      <c r="F60" s="181" t="str">
        <f>IFERROR(INDEX(Resume!$A$3:$F$218,MATCH(ROW($B30),Resume!$N$3:$N$218,0),MATCH('Commercial Invoice'!F$25,Resume!$A$2:$F$2,0)),"")</f>
        <v/>
      </c>
      <c r="G60" s="1314" t="str">
        <f>IFERROR(INDEX(Resume!$A$3:$F$218,MATCH(ROW($B30),Resume!$N$3:$N$218,0),MATCH('Commercial Invoice'!G$25,Resume!$A$2:$F$2,0)),"")</f>
        <v/>
      </c>
      <c r="H60" s="1315"/>
      <c r="I60" s="182" t="str">
        <f>IFERROR(INDEX(Resume!$A$3:$F$218,MATCH(ROW($B30),Resume!$N$3:$N$218,0),MATCH('Commercial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485.72</v>
      </c>
      <c r="L61" s="25"/>
      <c r="M61" s="25"/>
    </row>
    <row r="62" spans="1:13" ht="12.75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485.72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316"/>
      <c r="H72" s="1318" t="s">
        <v>37</v>
      </c>
      <c r="I72" s="1319"/>
      <c r="J72" s="1320"/>
    </row>
    <row r="73" spans="3:10" ht="12" thickBot="1" x14ac:dyDescent="0.25">
      <c r="C73" s="51" t="s">
        <v>142</v>
      </c>
      <c r="D73" s="52"/>
      <c r="E73" s="53"/>
      <c r="F73" s="54"/>
      <c r="G73" s="1317"/>
      <c r="H73" s="1321"/>
      <c r="I73" s="1322"/>
      <c r="J73" s="1323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form'!H552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520</v>
      </c>
      <c r="F94" s="14" t="s">
        <v>518</v>
      </c>
      <c r="G94" s="58" t="s">
        <v>519</v>
      </c>
      <c r="H94" s="58" t="s">
        <v>521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324" t="s">
        <v>360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5"/>
    </row>
    <row r="2" spans="1:14" x14ac:dyDescent="0.2">
      <c r="A2" s="1324" t="s">
        <v>359</v>
      </c>
      <c r="B2" s="1324"/>
      <c r="C2" s="1326"/>
      <c r="D2" s="1326"/>
      <c r="E2" s="1326"/>
      <c r="F2" s="1326"/>
      <c r="G2" s="1326"/>
      <c r="H2" s="1326"/>
      <c r="I2" s="1326"/>
      <c r="J2" s="1326"/>
      <c r="K2" s="1326"/>
      <c r="L2" s="1326"/>
      <c r="M2" s="1326"/>
      <c r="N2" s="1327"/>
    </row>
    <row r="4" spans="1:14" x14ac:dyDescent="0.2">
      <c r="A4" s="1338" t="s">
        <v>336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1338"/>
      <c r="M4" s="1338"/>
      <c r="N4" s="1338"/>
    </row>
    <row r="5" spans="1:14" x14ac:dyDescent="0.2">
      <c r="A5" s="1338" t="s">
        <v>337</v>
      </c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</row>
    <row r="6" spans="1:14" x14ac:dyDescent="0.2">
      <c r="A6" s="1339" t="s">
        <v>335</v>
      </c>
      <c r="B6" s="1339"/>
      <c r="C6" s="1339"/>
      <c r="D6" s="1339"/>
      <c r="E6" s="1339"/>
      <c r="F6" s="1339"/>
      <c r="G6" s="1339"/>
      <c r="H6" s="1339"/>
      <c r="I6" s="1339"/>
      <c r="J6" s="1339"/>
      <c r="K6" s="1339"/>
      <c r="L6" s="1339"/>
      <c r="M6" s="1339"/>
      <c r="N6" s="1339"/>
    </row>
    <row r="7" spans="1:14" x14ac:dyDescent="0.2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 x14ac:dyDescent="0.2">
      <c r="B8" s="165">
        <f>'Commercial Invoice'!B4</f>
        <v>0</v>
      </c>
      <c r="E8" s="145"/>
      <c r="F8" s="130"/>
      <c r="G8" s="145"/>
    </row>
    <row r="9" spans="1:14" x14ac:dyDescent="0.2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 x14ac:dyDescent="0.2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 x14ac:dyDescent="0.2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 x14ac:dyDescent="0.2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 x14ac:dyDescent="0.2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 x14ac:dyDescent="0.2">
      <c r="E14" s="145"/>
      <c r="F14" s="130"/>
      <c r="G14" s="145"/>
      <c r="H14" s="165">
        <f>'Commercial Invoice'!B10</f>
        <v>0</v>
      </c>
    </row>
    <row r="15" spans="1:14" ht="15" x14ac:dyDescent="0.3">
      <c r="B15" s="169" t="s">
        <v>368</v>
      </c>
      <c r="E15" s="145"/>
      <c r="F15" s="130"/>
      <c r="G15" s="145"/>
      <c r="H15" s="166">
        <f>'Commercial Invoice'!B11</f>
        <v>0</v>
      </c>
    </row>
    <row r="16" spans="1:14" x14ac:dyDescent="0.2">
      <c r="E16" s="145"/>
      <c r="F16" s="130"/>
      <c r="G16" s="145"/>
      <c r="H16" s="166"/>
    </row>
    <row r="17" spans="1:14" x14ac:dyDescent="0.2">
      <c r="E17" s="145"/>
      <c r="F17" s="130"/>
      <c r="G17" s="145"/>
      <c r="H17" s="166"/>
    </row>
    <row r="18" spans="1:14" x14ac:dyDescent="0.2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">
      <c r="A19" s="1328"/>
      <c r="B19" s="1328"/>
      <c r="C19" s="1328"/>
      <c r="D19" s="1328"/>
      <c r="E19" s="1328"/>
      <c r="F19" s="1328"/>
      <c r="G19" s="134"/>
      <c r="H19" s="1332" t="s">
        <v>354</v>
      </c>
      <c r="I19" s="1335"/>
      <c r="J19" s="1332" t="s">
        <v>355</v>
      </c>
      <c r="K19" s="1335"/>
      <c r="L19" s="1329" t="s">
        <v>356</v>
      </c>
      <c r="M19" s="1329" t="s">
        <v>357</v>
      </c>
      <c r="N19" s="1332" t="s">
        <v>358</v>
      </c>
    </row>
    <row r="20" spans="1:14" x14ac:dyDescent="0.2">
      <c r="A20" s="1342" t="s">
        <v>339</v>
      </c>
      <c r="B20" s="1342"/>
      <c r="C20" s="1343"/>
      <c r="D20" s="1343"/>
      <c r="E20" s="1343"/>
      <c r="F20" s="1343"/>
      <c r="G20" s="136"/>
      <c r="H20" s="1333"/>
      <c r="I20" s="1336"/>
      <c r="J20" s="1333"/>
      <c r="K20" s="1336"/>
      <c r="L20" s="1330"/>
      <c r="M20" s="1330"/>
      <c r="N20" s="1333"/>
    </row>
    <row r="21" spans="1:14" x14ac:dyDescent="0.2">
      <c r="A21" s="1342" t="s">
        <v>338</v>
      </c>
      <c r="B21" s="1342"/>
      <c r="C21" s="1343"/>
      <c r="D21" s="1343"/>
      <c r="E21" s="1343"/>
      <c r="F21" s="1343"/>
      <c r="G21" s="136"/>
      <c r="H21" s="1333"/>
      <c r="I21" s="1336"/>
      <c r="J21" s="1333"/>
      <c r="K21" s="1336"/>
      <c r="L21" s="1330"/>
      <c r="M21" s="1330"/>
      <c r="N21" s="1333"/>
    </row>
    <row r="22" spans="1:14" x14ac:dyDescent="0.2">
      <c r="A22" s="1344"/>
      <c r="B22" s="1344"/>
      <c r="C22" s="1344"/>
      <c r="D22" s="1344"/>
      <c r="E22" s="1344"/>
      <c r="F22" s="1344"/>
      <c r="G22" s="135"/>
      <c r="H22" s="1334"/>
      <c r="I22" s="1337"/>
      <c r="J22" s="1334"/>
      <c r="K22" s="1337"/>
      <c r="L22" s="1331"/>
      <c r="M22" s="1331"/>
      <c r="N22" s="1334"/>
    </row>
    <row r="23" spans="1:14" x14ac:dyDescent="0.2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 x14ac:dyDescent="0.2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">
      <c r="A45" t="s">
        <v>340</v>
      </c>
    </row>
    <row r="46" spans="1:14" x14ac:dyDescent="0.2">
      <c r="A46" t="s">
        <v>341</v>
      </c>
    </row>
    <row r="47" spans="1:14" x14ac:dyDescent="0.2">
      <c r="A47" t="s">
        <v>342</v>
      </c>
    </row>
    <row r="48" spans="1:14" x14ac:dyDescent="0.2">
      <c r="A48" t="s">
        <v>343</v>
      </c>
    </row>
    <row r="49" spans="1:14" x14ac:dyDescent="0.2">
      <c r="A49" t="s">
        <v>344</v>
      </c>
    </row>
    <row r="50" spans="1:14" x14ac:dyDescent="0.2">
      <c r="A50" t="s">
        <v>345</v>
      </c>
    </row>
    <row r="51" spans="1:14" x14ac:dyDescent="0.2">
      <c r="A51" t="s">
        <v>346</v>
      </c>
    </row>
    <row r="52" spans="1:14" x14ac:dyDescent="0.2">
      <c r="A52" t="s">
        <v>347</v>
      </c>
    </row>
    <row r="53" spans="1:14" x14ac:dyDescent="0.2">
      <c r="A53" t="s">
        <v>348</v>
      </c>
    </row>
    <row r="54" spans="1:14" x14ac:dyDescent="0.2">
      <c r="A54" t="s">
        <v>349</v>
      </c>
    </row>
    <row r="55" spans="1:14" x14ac:dyDescent="0.2">
      <c r="A55" t="s">
        <v>350</v>
      </c>
    </row>
    <row r="56" spans="1:14" x14ac:dyDescent="0.2">
      <c r="A56" t="s">
        <v>333</v>
      </c>
      <c r="D56" s="162">
        <v>1</v>
      </c>
      <c r="E56" t="s">
        <v>332</v>
      </c>
    </row>
    <row r="57" spans="1:14" ht="4.9000000000000004" customHeight="1" x14ac:dyDescent="0.2">
      <c r="D57" s="126"/>
    </row>
    <row r="58" spans="1:14" x14ac:dyDescent="0.2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 x14ac:dyDescent="0.2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 x14ac:dyDescent="0.2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 x14ac:dyDescent="0.2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 x14ac:dyDescent="0.2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 x14ac:dyDescent="0.2">
      <c r="A63" s="130"/>
      <c r="B63" s="175"/>
      <c r="C63" s="145"/>
      <c r="D63" s="145"/>
      <c r="E63" s="151" t="s">
        <v>351</v>
      </c>
      <c r="F63" s="1340" t="s">
        <v>3</v>
      </c>
      <c r="G63" s="148"/>
      <c r="K63" s="130"/>
      <c r="L63" s="145"/>
    </row>
    <row r="64" spans="1:14" x14ac:dyDescent="0.2">
      <c r="A64" s="132"/>
      <c r="B64" s="174"/>
      <c r="C64" s="131"/>
      <c r="D64" s="131"/>
      <c r="E64" s="152" t="s">
        <v>352</v>
      </c>
      <c r="F64" s="1341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 x14ac:dyDescent="0.2">
      <c r="N65" s="153" t="s">
        <v>331</v>
      </c>
    </row>
    <row r="78" spans="1:14" x14ac:dyDescent="0.2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Benjamin Ricard</cp:lastModifiedBy>
  <cp:lastPrinted>2020-01-10T13:35:59Z</cp:lastPrinted>
  <dcterms:created xsi:type="dcterms:W3CDTF">2009-08-12T21:40:25Z</dcterms:created>
  <dcterms:modified xsi:type="dcterms:W3CDTF">2020-11-17T17:42:31Z</dcterms:modified>
</cp:coreProperties>
</file>